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oreto.vera\Ministerio Del Medio Ambiente\Pablo Fernandois Ramirez - Fondo_reciclaje\2020 - NACIONAL\03 MDS\Versión Final ENERO 2.0\"/>
    </mc:Choice>
  </mc:AlternateContent>
  <bookViews>
    <workbookView xWindow="0" yWindow="0" windowWidth="28800" windowHeight="11835" tabRatio="906" activeTab="3"/>
  </bookViews>
  <sheets>
    <sheet name="Cálculo PPC" sheetId="1" r:id="rId1"/>
    <sheet name="Proyeccion cant residuos" sheetId="2" r:id="rId2"/>
    <sheet name="Res. valorizables TAD" sheetId="3" r:id="rId3"/>
    <sheet name="Oferta Calculo TAT" sheetId="4" r:id="rId4"/>
    <sheet name="Deficit comuna" sheetId="5" r:id="rId5"/>
    <sheet name="Deficit Pob. Objetivo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" l="1"/>
  <c r="J8" i="2"/>
  <c r="G9" i="1" l="1"/>
  <c r="G8" i="1"/>
  <c r="C15" i="3" l="1"/>
  <c r="C7" i="6" l="1"/>
  <c r="C8" i="6"/>
  <c r="C9" i="6"/>
  <c r="C10" i="6"/>
  <c r="C11" i="6"/>
  <c r="C12" i="6"/>
  <c r="C13" i="6"/>
  <c r="C14" i="6"/>
  <c r="C15" i="6"/>
  <c r="C16" i="6"/>
  <c r="D11" i="1" l="1"/>
  <c r="B6" i="2" s="1"/>
  <c r="I8" i="2" s="1"/>
  <c r="C6" i="6"/>
  <c r="I9" i="2" l="1"/>
  <c r="H8" i="3" s="1"/>
  <c r="C4" i="3" l="1"/>
  <c r="H7" i="3"/>
  <c r="O8" i="3"/>
  <c r="M8" i="4" s="1"/>
  <c r="I8" i="5" s="1"/>
  <c r="K7" i="6" s="1"/>
  <c r="I10" i="2"/>
  <c r="J8" i="3"/>
  <c r="N8" i="3"/>
  <c r="L8" i="4" s="1"/>
  <c r="K8" i="3"/>
  <c r="I8" i="4" s="1"/>
  <c r="E8" i="5" s="1"/>
  <c r="G7" i="6" s="1"/>
  <c r="M8" i="3"/>
  <c r="K8" i="4" s="1"/>
  <c r="G8" i="5" s="1"/>
  <c r="I7" i="6" s="1"/>
  <c r="I8" i="3"/>
  <c r="P8" i="3"/>
  <c r="N8" i="4" s="1"/>
  <c r="J8" i="5" s="1"/>
  <c r="L7" i="6" s="1"/>
  <c r="L8" i="3"/>
  <c r="H8" i="4" l="1"/>
  <c r="D8" i="5" s="1"/>
  <c r="J10" i="2"/>
  <c r="H9" i="3" s="1"/>
  <c r="O9" i="3" s="1"/>
  <c r="M9" i="4" s="1"/>
  <c r="I9" i="5" s="1"/>
  <c r="K8" i="6" s="1"/>
  <c r="I11" i="2"/>
  <c r="J11" i="2" s="1"/>
  <c r="J7" i="3"/>
  <c r="H7" i="4" s="1"/>
  <c r="D7" i="5" s="1"/>
  <c r="F6" i="6" s="1"/>
  <c r="I7" i="3"/>
  <c r="G7" i="4" s="1"/>
  <c r="C7" i="5" s="1"/>
  <c r="E6" i="6" s="1"/>
  <c r="D7" i="3"/>
  <c r="D10" i="3"/>
  <c r="D11" i="3"/>
  <c r="D8" i="3"/>
  <c r="D14" i="3"/>
  <c r="D15" i="3"/>
  <c r="D13" i="3"/>
  <c r="D9" i="3"/>
  <c r="D12" i="3"/>
  <c r="L7" i="3"/>
  <c r="J7" i="4" s="1"/>
  <c r="F7" i="5" s="1"/>
  <c r="H6" i="6" s="1"/>
  <c r="K7" i="3"/>
  <c r="I7" i="4" s="1"/>
  <c r="E7" i="5" s="1"/>
  <c r="G6" i="6" s="1"/>
  <c r="M7" i="3"/>
  <c r="K7" i="4" s="1"/>
  <c r="G7" i="5" s="1"/>
  <c r="I6" i="6" s="1"/>
  <c r="O7" i="3"/>
  <c r="M7" i="4" s="1"/>
  <c r="I7" i="5" s="1"/>
  <c r="K6" i="6" s="1"/>
  <c r="N7" i="3"/>
  <c r="L7" i="4" s="1"/>
  <c r="P7" i="3"/>
  <c r="N7" i="4" s="1"/>
  <c r="J7" i="5" s="1"/>
  <c r="L6" i="6" s="1"/>
  <c r="G8" i="4"/>
  <c r="C8" i="5" s="1"/>
  <c r="E7" i="6" s="1"/>
  <c r="J8" i="4"/>
  <c r="F8" i="5" s="1"/>
  <c r="H7" i="6" s="1"/>
  <c r="H8" i="5"/>
  <c r="J7" i="6" s="1"/>
  <c r="F7" i="6" l="1"/>
  <c r="M9" i="3"/>
  <c r="K9" i="4" s="1"/>
  <c r="G9" i="5" s="1"/>
  <c r="I8" i="6" s="1"/>
  <c r="P9" i="3"/>
  <c r="N9" i="4" s="1"/>
  <c r="J9" i="5" s="1"/>
  <c r="L8" i="6" s="1"/>
  <c r="K9" i="3"/>
  <c r="I9" i="4" s="1"/>
  <c r="E9" i="5" s="1"/>
  <c r="G8" i="6" s="1"/>
  <c r="I9" i="3"/>
  <c r="G9" i="4" s="1"/>
  <c r="C9" i="5" s="1"/>
  <c r="E8" i="6" s="1"/>
  <c r="J9" i="3"/>
  <c r="H9" i="4" s="1"/>
  <c r="D9" i="5" s="1"/>
  <c r="F8" i="6" s="1"/>
  <c r="N9" i="3"/>
  <c r="L9" i="4" s="1"/>
  <c r="H10" i="3"/>
  <c r="M10" i="3" s="1"/>
  <c r="K10" i="4" s="1"/>
  <c r="G10" i="5" s="1"/>
  <c r="I9" i="6" s="1"/>
  <c r="L9" i="3"/>
  <c r="J9" i="4" s="1"/>
  <c r="F9" i="5" s="1"/>
  <c r="H8" i="6" s="1"/>
  <c r="H7" i="5"/>
  <c r="J6" i="6" s="1"/>
  <c r="I12" i="2"/>
  <c r="J12" i="2" s="1"/>
  <c r="N10" i="3" l="1"/>
  <c r="L10" i="4" s="1"/>
  <c r="I10" i="3"/>
  <c r="O10" i="3"/>
  <c r="M10" i="4" s="1"/>
  <c r="I10" i="5" s="1"/>
  <c r="K9" i="6" s="1"/>
  <c r="L10" i="3"/>
  <c r="J10" i="4" s="1"/>
  <c r="F10" i="5" s="1"/>
  <c r="H9" i="6" s="1"/>
  <c r="H11" i="3"/>
  <c r="L11" i="3" s="1"/>
  <c r="J11" i="4" s="1"/>
  <c r="F11" i="5" s="1"/>
  <c r="H10" i="6" s="1"/>
  <c r="K10" i="3"/>
  <c r="I10" i="4" s="1"/>
  <c r="E10" i="5" s="1"/>
  <c r="G9" i="6" s="1"/>
  <c r="H9" i="5"/>
  <c r="J8" i="6" s="1"/>
  <c r="P10" i="3"/>
  <c r="N10" i="4" s="1"/>
  <c r="J10" i="5" s="1"/>
  <c r="L9" i="6" s="1"/>
  <c r="J10" i="3"/>
  <c r="H10" i="4" s="1"/>
  <c r="D10" i="5" s="1"/>
  <c r="F9" i="6" s="1"/>
  <c r="I13" i="2"/>
  <c r="J13" i="2" s="1"/>
  <c r="G10" i="4" l="1"/>
  <c r="C10" i="5" s="1"/>
  <c r="E9" i="6" s="1"/>
  <c r="I11" i="3"/>
  <c r="G11" i="4" s="1"/>
  <c r="C11" i="5" s="1"/>
  <c r="E10" i="6" s="1"/>
  <c r="N11" i="3"/>
  <c r="L11" i="4" s="1"/>
  <c r="O11" i="3"/>
  <c r="M11" i="4" s="1"/>
  <c r="I11" i="5" s="1"/>
  <c r="K10" i="6" s="1"/>
  <c r="P11" i="3"/>
  <c r="N11" i="4" s="1"/>
  <c r="J11" i="5" s="1"/>
  <c r="L10" i="6" s="1"/>
  <c r="J11" i="3"/>
  <c r="H11" i="4" s="1"/>
  <c r="D11" i="5" s="1"/>
  <c r="F10" i="6" s="1"/>
  <c r="M11" i="3"/>
  <c r="K11" i="4" s="1"/>
  <c r="G11" i="5" s="1"/>
  <c r="I10" i="6" s="1"/>
  <c r="K11" i="3"/>
  <c r="I11" i="4" s="1"/>
  <c r="E11" i="5" s="1"/>
  <c r="G10" i="6" s="1"/>
  <c r="H10" i="5"/>
  <c r="J9" i="6" s="1"/>
  <c r="H12" i="3"/>
  <c r="I14" i="2"/>
  <c r="J14" i="2" s="1"/>
  <c r="H11" i="5" l="1"/>
  <c r="J10" i="6" s="1"/>
  <c r="N12" i="3"/>
  <c r="I12" i="3"/>
  <c r="G12" i="4" s="1"/>
  <c r="C12" i="5" s="1"/>
  <c r="E11" i="6" s="1"/>
  <c r="M12" i="3"/>
  <c r="K12" i="4" s="1"/>
  <c r="G12" i="5" s="1"/>
  <c r="I11" i="6" s="1"/>
  <c r="K12" i="3"/>
  <c r="I12" i="4" s="1"/>
  <c r="E12" i="5" s="1"/>
  <c r="G11" i="6" s="1"/>
  <c r="J12" i="3"/>
  <c r="H12" i="4" s="1"/>
  <c r="D12" i="5" s="1"/>
  <c r="F11" i="6" s="1"/>
  <c r="O12" i="3"/>
  <c r="M12" i="4" s="1"/>
  <c r="I12" i="5" s="1"/>
  <c r="K11" i="6" s="1"/>
  <c r="P12" i="3"/>
  <c r="N12" i="4" s="1"/>
  <c r="J12" i="5" s="1"/>
  <c r="L11" i="6" s="1"/>
  <c r="L12" i="3"/>
  <c r="J12" i="4" s="1"/>
  <c r="F12" i="5" s="1"/>
  <c r="H11" i="6" s="1"/>
  <c r="H13" i="3"/>
  <c r="K13" i="3" s="1"/>
  <c r="I15" i="2"/>
  <c r="J15" i="2" s="1"/>
  <c r="N13" i="3" l="1"/>
  <c r="O13" i="3"/>
  <c r="M13" i="4" s="1"/>
  <c r="I13" i="5" s="1"/>
  <c r="K12" i="6" s="1"/>
  <c r="I13" i="3"/>
  <c r="G13" i="4" s="1"/>
  <c r="C13" i="5" s="1"/>
  <c r="E12" i="6" s="1"/>
  <c r="L13" i="3"/>
  <c r="J13" i="4" s="1"/>
  <c r="F13" i="5" s="1"/>
  <c r="H12" i="6" s="1"/>
  <c r="J13" i="3"/>
  <c r="H13" i="4" s="1"/>
  <c r="D13" i="5" s="1"/>
  <c r="F12" i="6" s="1"/>
  <c r="M13" i="3"/>
  <c r="K13" i="4" s="1"/>
  <c r="G13" i="5" s="1"/>
  <c r="I12" i="6" s="1"/>
  <c r="P13" i="3"/>
  <c r="N13" i="4" s="1"/>
  <c r="J13" i="5" s="1"/>
  <c r="L12" i="6" s="1"/>
  <c r="I13" i="4"/>
  <c r="E13" i="5" s="1"/>
  <c r="G12" i="6" s="1"/>
  <c r="H14" i="3"/>
  <c r="I14" i="3" s="1"/>
  <c r="L12" i="4"/>
  <c r="H12" i="5" s="1"/>
  <c r="J11" i="6" s="1"/>
  <c r="I16" i="2"/>
  <c r="J16" i="2" s="1"/>
  <c r="P14" i="3" l="1"/>
  <c r="N14" i="4" s="1"/>
  <c r="J14" i="5" s="1"/>
  <c r="L13" i="6" s="1"/>
  <c r="M14" i="3"/>
  <c r="K14" i="4" s="1"/>
  <c r="G14" i="5" s="1"/>
  <c r="I13" i="6" s="1"/>
  <c r="N14" i="3"/>
  <c r="L14" i="4" s="1"/>
  <c r="L14" i="3"/>
  <c r="J14" i="4" s="1"/>
  <c r="F14" i="5" s="1"/>
  <c r="H13" i="6" s="1"/>
  <c r="J14" i="3"/>
  <c r="H14" i="4" s="1"/>
  <c r="D14" i="5" s="1"/>
  <c r="F13" i="6" s="1"/>
  <c r="G14" i="4"/>
  <c r="C14" i="5" s="1"/>
  <c r="E13" i="6" s="1"/>
  <c r="O14" i="3"/>
  <c r="M14" i="4" s="1"/>
  <c r="I14" i="5" s="1"/>
  <c r="K13" i="6" s="1"/>
  <c r="K14" i="3"/>
  <c r="I14" i="4" s="1"/>
  <c r="E14" i="5" s="1"/>
  <c r="G13" i="6" s="1"/>
  <c r="H15" i="3"/>
  <c r="L13" i="4"/>
  <c r="H13" i="5" s="1"/>
  <c r="J12" i="6" s="1"/>
  <c r="I17" i="2"/>
  <c r="J17" i="2" s="1"/>
  <c r="H14" i="5" l="1"/>
  <c r="J13" i="6" s="1"/>
  <c r="N15" i="3"/>
  <c r="L15" i="4" s="1"/>
  <c r="K15" i="3"/>
  <c r="I15" i="4" s="1"/>
  <c r="E15" i="5" s="1"/>
  <c r="G14" i="6" s="1"/>
  <c r="I15" i="3"/>
  <c r="G15" i="4" s="1"/>
  <c r="C15" i="5" s="1"/>
  <c r="E14" i="6" s="1"/>
  <c r="L15" i="3"/>
  <c r="J15" i="4" s="1"/>
  <c r="F15" i="5" s="1"/>
  <c r="H14" i="6" s="1"/>
  <c r="M15" i="3"/>
  <c r="K15" i="4" s="1"/>
  <c r="G15" i="5" s="1"/>
  <c r="I14" i="6" s="1"/>
  <c r="P15" i="3"/>
  <c r="N15" i="4" s="1"/>
  <c r="J15" i="5" s="1"/>
  <c r="L14" i="6" s="1"/>
  <c r="J15" i="3"/>
  <c r="H15" i="4" s="1"/>
  <c r="D15" i="5" s="1"/>
  <c r="F14" i="6" s="1"/>
  <c r="O15" i="3"/>
  <c r="M15" i="4" s="1"/>
  <c r="I15" i="5" s="1"/>
  <c r="K14" i="6" s="1"/>
  <c r="I18" i="2"/>
  <c r="J18" i="2" s="1"/>
  <c r="H16" i="3"/>
  <c r="M16" i="3" s="1"/>
  <c r="H15" i="5" l="1"/>
  <c r="J14" i="6" s="1"/>
  <c r="H17" i="3"/>
  <c r="L16" i="3"/>
  <c r="J16" i="4" s="1"/>
  <c r="F16" i="5" s="1"/>
  <c r="H15" i="6" s="1"/>
  <c r="J16" i="3"/>
  <c r="H16" i="4" s="1"/>
  <c r="D16" i="5" s="1"/>
  <c r="F15" i="6" s="1"/>
  <c r="P16" i="3"/>
  <c r="N16" i="4" s="1"/>
  <c r="J16" i="5" s="1"/>
  <c r="L15" i="6" s="1"/>
  <c r="K16" i="3"/>
  <c r="I16" i="4" s="1"/>
  <c r="E16" i="5" s="1"/>
  <c r="G15" i="6" s="1"/>
  <c r="I16" i="3"/>
  <c r="G16" i="4" s="1"/>
  <c r="C16" i="5" s="1"/>
  <c r="E15" i="6" s="1"/>
  <c r="N16" i="3"/>
  <c r="L16" i="4" s="1"/>
  <c r="O16" i="3"/>
  <c r="M16" i="4" s="1"/>
  <c r="I16" i="5" s="1"/>
  <c r="K15" i="6" s="1"/>
  <c r="K16" i="4"/>
  <c r="G16" i="5" s="1"/>
  <c r="I15" i="6" s="1"/>
  <c r="L17" i="3" l="1"/>
  <c r="J17" i="4" s="1"/>
  <c r="F17" i="5" s="1"/>
  <c r="H16" i="6" s="1"/>
  <c r="M17" i="3"/>
  <c r="K17" i="4" s="1"/>
  <c r="G17" i="5" s="1"/>
  <c r="I16" i="6" s="1"/>
  <c r="P17" i="3"/>
  <c r="N17" i="4" s="1"/>
  <c r="J17" i="5" s="1"/>
  <c r="L16" i="6" s="1"/>
  <c r="J17" i="3"/>
  <c r="H17" i="4" s="1"/>
  <c r="D17" i="5" s="1"/>
  <c r="F16" i="6" s="1"/>
  <c r="I17" i="3"/>
  <c r="G17" i="4" s="1"/>
  <c r="C17" i="5" s="1"/>
  <c r="E16" i="6" s="1"/>
  <c r="N17" i="3"/>
  <c r="O17" i="3"/>
  <c r="M17" i="4" s="1"/>
  <c r="I17" i="5" s="1"/>
  <c r="K16" i="6" s="1"/>
  <c r="K17" i="3"/>
  <c r="I17" i="4" s="1"/>
  <c r="E17" i="5" s="1"/>
  <c r="G16" i="6" s="1"/>
  <c r="H16" i="5"/>
  <c r="J15" i="6" s="1"/>
  <c r="L17" i="4" l="1"/>
  <c r="H17" i="5" s="1"/>
  <c r="J16" i="6" s="1"/>
</calcChain>
</file>

<file path=xl/comments1.xml><?xml version="1.0" encoding="utf-8"?>
<comments xmlns="http://schemas.openxmlformats.org/spreadsheetml/2006/main">
  <authors>
    <author>Marcos Archivaldo Rivera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Ingrese valor del SINADER.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POBLACIÓN: Dato de proyección a partir del Censo 2017</t>
        </r>
      </text>
    </comment>
  </commentList>
</comments>
</file>

<file path=xl/comments2.xml><?xml version="1.0" encoding="utf-8"?>
<comments xmlns="http://schemas.openxmlformats.org/spreadsheetml/2006/main">
  <authors>
    <author>Marcos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DEBE INGRESAR LA FRACCIÓN O PORCENTAJE DE CADA RESIDUO ACORDE A SU REALIDAD.</t>
        </r>
      </text>
    </comment>
  </commentList>
</comments>
</file>

<file path=xl/comments3.xml><?xml version="1.0" encoding="utf-8"?>
<comments xmlns="http://schemas.openxmlformats.org/spreadsheetml/2006/main">
  <authors>
    <author>Marcos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>DEBE INGRESAR LA FRACCIÓN O PORCENTAJE DE CADA RESIDUO ACORDE A SU REALIDAD COMUNAL.</t>
        </r>
      </text>
    </comment>
  </commentList>
</comments>
</file>

<file path=xl/sharedStrings.xml><?xml version="1.0" encoding="utf-8"?>
<sst xmlns="http://schemas.openxmlformats.org/spreadsheetml/2006/main" count="108" uniqueCount="58">
  <si>
    <t>TAD</t>
  </si>
  <si>
    <t>P</t>
  </si>
  <si>
    <t>PPC</t>
  </si>
  <si>
    <t>Crecimiento per cápita RSD</t>
  </si>
  <si>
    <t>Año</t>
  </si>
  <si>
    <t xml:space="preserve">Rango tasa de crecimiento media anual </t>
  </si>
  <si>
    <t>Tasa de crecimiento media anual sugerida (g)</t>
  </si>
  <si>
    <t>1-2,5%</t>
  </si>
  <si>
    <t xml:space="preserve">PPC
Generación (kg/hab/día) </t>
  </si>
  <si>
    <t>TAD 2019</t>
  </si>
  <si>
    <t>Tipo residuo (j)</t>
  </si>
  <si>
    <t>Fracción (k)</t>
  </si>
  <si>
    <t>TAD (2019)</t>
  </si>
  <si>
    <t>Papel</t>
  </si>
  <si>
    <t>Cartón</t>
  </si>
  <si>
    <t>Plásticos</t>
  </si>
  <si>
    <t>Metales</t>
  </si>
  <si>
    <t>Vidrio</t>
  </si>
  <si>
    <t>Tetra Pack</t>
  </si>
  <si>
    <t>Orgánicos</t>
  </si>
  <si>
    <t>Total</t>
  </si>
  <si>
    <t>AÑO</t>
  </si>
  <si>
    <t>Organicos</t>
  </si>
  <si>
    <r>
      <t xml:space="preserve">PPC </t>
    </r>
    <r>
      <rPr>
        <b/>
        <vertAlign val="subscript"/>
        <sz val="16"/>
        <color theme="0"/>
        <rFont val="Calibri"/>
        <family val="2"/>
        <scheme val="minor"/>
      </rPr>
      <t>t</t>
    </r>
  </si>
  <si>
    <r>
      <t xml:space="preserve">TAD </t>
    </r>
    <r>
      <rPr>
        <b/>
        <vertAlign val="subscript"/>
        <sz val="16"/>
        <color theme="0"/>
        <rFont val="Calibri"/>
        <family val="2"/>
        <scheme val="minor"/>
      </rPr>
      <t>t</t>
    </r>
  </si>
  <si>
    <r>
      <t xml:space="preserve">TAD </t>
    </r>
    <r>
      <rPr>
        <b/>
        <vertAlign val="subscript"/>
        <sz val="14"/>
        <color theme="0"/>
        <rFont val="Calibri"/>
        <family val="2"/>
        <scheme val="minor"/>
      </rPr>
      <t>t</t>
    </r>
  </si>
  <si>
    <t>Toneladas de residuos con potencial de valorización - Total</t>
  </si>
  <si>
    <t>% recuperación comuna</t>
  </si>
  <si>
    <t>Llenar con porcentaje estimado de recuperación del tipo de residuo tratado en la comuna.</t>
  </si>
  <si>
    <t>Toneladas por tipo de residuo no tratada</t>
  </si>
  <si>
    <t>Población Comuna</t>
  </si>
  <si>
    <t>Población Objetivo</t>
  </si>
  <si>
    <t>CÁLCULO PPC: Producción per cápita de residuos</t>
  </si>
  <si>
    <r>
      <t>i.</t>
    </r>
    <r>
      <rPr>
        <b/>
        <i/>
        <sz val="7"/>
        <color rgb="FF000000"/>
        <rFont val="Times New Roman"/>
        <family val="1"/>
      </rPr>
      <t xml:space="preserve">                    </t>
    </r>
    <r>
      <rPr>
        <b/>
        <i/>
        <sz val="12"/>
        <color rgb="FF000000"/>
        <rFont val="Book Antiqua"/>
        <family val="1"/>
      </rPr>
      <t xml:space="preserve">Paso 2: </t>
    </r>
    <r>
      <rPr>
        <b/>
        <sz val="12"/>
        <color rgb="FF000000"/>
        <rFont val="Book Antiqua"/>
        <family val="1"/>
      </rPr>
      <t>Proyección</t>
    </r>
    <r>
      <rPr>
        <b/>
        <i/>
        <sz val="12"/>
        <color rgb="FF000000"/>
        <rFont val="Book Antiqua"/>
        <family val="1"/>
      </rPr>
      <t xml:space="preserve"> de la cantidad de residuos generados </t>
    </r>
  </si>
  <si>
    <t>Paso 1: Determinación de la cantidad actual de residuos generados (PPC)</t>
  </si>
  <si>
    <t>Toneladas Residuos Anual (2019):</t>
  </si>
  <si>
    <t>N°Personas atendidas por Relleno (2019):</t>
  </si>
  <si>
    <r>
      <t xml:space="preserve">PPC </t>
    </r>
    <r>
      <rPr>
        <b/>
        <vertAlign val="subscript"/>
        <sz val="14"/>
        <color theme="0"/>
        <rFont val="Calibri"/>
        <family val="2"/>
        <scheme val="minor"/>
      </rPr>
      <t>t</t>
    </r>
    <r>
      <rPr>
        <b/>
        <sz val="12"/>
        <color theme="0"/>
        <rFont val="Calibri"/>
        <family val="2"/>
        <scheme val="minor"/>
      </rPr>
      <t>: GENERACIÓN PÉR CAPITA EN EL TIEMPO</t>
    </r>
  </si>
  <si>
    <r>
      <t xml:space="preserve">TAD </t>
    </r>
    <r>
      <rPr>
        <b/>
        <vertAlign val="subscript"/>
        <sz val="14"/>
        <color theme="0"/>
        <rFont val="Calibri"/>
        <family val="2"/>
        <scheme val="minor"/>
      </rPr>
      <t>t</t>
    </r>
    <r>
      <rPr>
        <b/>
        <sz val="12"/>
        <color theme="0"/>
        <rFont val="Calibri"/>
        <family val="2"/>
        <scheme val="minor"/>
      </rPr>
      <t>: TONELADAS RESIDUOS GENERADAS EN EL AÑO t</t>
    </r>
  </si>
  <si>
    <t>Porcentaje generación 
(f)</t>
  </si>
  <si>
    <t xml:space="preserve">              </t>
  </si>
  <si>
    <t>Ingrese los datos de proyección de población 
comunal a partir del Censo 2017 (INE).</t>
  </si>
  <si>
    <t>Proyección Población (pt)</t>
  </si>
  <si>
    <t>Otros (1)</t>
  </si>
  <si>
    <t>(1) "Otros" considera también "inertes".</t>
  </si>
  <si>
    <t>Paso 2: Proyección de la cantidad de residuos generados</t>
  </si>
  <si>
    <t>Paso 3 y 4: Determinación de la cantidad actual y proyectada de residuos valorizables</t>
  </si>
  <si>
    <r>
      <rPr>
        <b/>
        <i/>
        <sz val="10"/>
        <color theme="1"/>
        <rFont val="Calibri"/>
        <family val="2"/>
        <scheme val="minor"/>
      </rPr>
      <t>RESIDUOS:</t>
    </r>
    <r>
      <rPr>
        <i/>
        <sz val="10"/>
        <color theme="1"/>
        <rFont val="Calibri"/>
        <family val="2"/>
        <scheme val="minor"/>
      </rPr>
      <t xml:space="preserve"> Ingrese valor del SINADER.
</t>
    </r>
    <r>
      <rPr>
        <b/>
        <i/>
        <sz val="10"/>
        <color theme="1"/>
        <rFont val="Calibri"/>
        <family val="2"/>
        <scheme val="minor"/>
      </rPr>
      <t>POBLACIÓN:</t>
    </r>
    <r>
      <rPr>
        <i/>
        <sz val="10"/>
        <color theme="1"/>
        <rFont val="Calibri"/>
        <family val="2"/>
        <scheme val="minor"/>
      </rPr>
      <t xml:space="preserve"> Dato de proyección comunal del 2019 a partir del Censo 2017.</t>
    </r>
  </si>
  <si>
    <t>Para el cálculo del PPC debe ingresar las toneladas de residuo anual y la población que atiende el relleno sanitario al año 2019.</t>
  </si>
  <si>
    <t>Oferta actual y proyectada: Estimación de residuos con potencial de valorización</t>
  </si>
  <si>
    <t>Este valor se obtiene restar el total de toneladas generadas por tipo de residuo en el año, menos el total de toneladas tratadas por tipo en ese mismo año.</t>
  </si>
  <si>
    <r>
      <rPr>
        <b/>
        <sz val="14"/>
        <color theme="1"/>
        <rFont val="Calibri"/>
        <family val="2"/>
        <scheme val="minor"/>
      </rPr>
      <t>Cálculo</t>
    </r>
    <r>
      <rPr>
        <b/>
        <i/>
        <sz val="14"/>
        <color theme="1"/>
        <rFont val="Calibri"/>
        <family val="2"/>
        <scheme val="minor"/>
      </rPr>
      <t xml:space="preserve"> TAT</t>
    </r>
  </si>
  <si>
    <r>
      <t>Toneladas por tipo de residuo TAD</t>
    </r>
    <r>
      <rPr>
        <b/>
        <vertAlign val="superscript"/>
        <sz val="11"/>
        <color theme="0"/>
        <rFont val="Calibri"/>
        <family val="2"/>
        <scheme val="minor"/>
      </rPr>
      <t xml:space="preserve">  </t>
    </r>
    <r>
      <rPr>
        <b/>
        <vertAlign val="superscript"/>
        <sz val="12"/>
        <color theme="0"/>
        <rFont val="Calibri"/>
        <family val="2"/>
        <scheme val="minor"/>
      </rPr>
      <t>j</t>
    </r>
    <r>
      <rPr>
        <b/>
        <vertAlign val="subscript"/>
        <sz val="12"/>
        <color theme="0"/>
        <rFont val="Calibri"/>
        <family val="2"/>
        <scheme val="minor"/>
      </rPr>
      <t>t</t>
    </r>
  </si>
  <si>
    <t>Nota: Se debe registrar la población objetivo proyectada por cada año.</t>
  </si>
  <si>
    <t>DEBE INGRESAR LA FRACCIÓN O PORCENTAJE DE CADA RESIDUO ACORDE A LA REALIDAD DE LA COMUNA</t>
  </si>
  <si>
    <r>
      <rPr>
        <b/>
        <i/>
        <sz val="14"/>
        <color theme="1"/>
        <rFont val="Calibri"/>
        <family val="2"/>
        <scheme val="minor"/>
      </rPr>
      <t>TAT</t>
    </r>
    <r>
      <rPr>
        <b/>
        <sz val="14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Las toneladas de residuos tratados por cada tipo de residuo se cálcula a partir del "porcentaje de recuperación para reciclaje comuna"  </t>
    </r>
    <r>
      <rPr>
        <sz val="14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la proyección de "toneladas por tipo de residuo" (hoja anterior).</t>
    </r>
  </si>
  <si>
    <r>
      <t xml:space="preserve">Estimación del </t>
    </r>
    <r>
      <rPr>
        <b/>
        <i/>
        <sz val="20"/>
        <color theme="1"/>
        <rFont val="Book Antiqua"/>
        <family val="1"/>
      </rPr>
      <t>déficit</t>
    </r>
    <r>
      <rPr>
        <b/>
        <sz val="18"/>
        <color theme="1"/>
        <rFont val="Book Antiqua"/>
        <family val="1"/>
      </rPr>
      <t xml:space="preserve"> actual y proyectado por tipo de residuo en la comuna</t>
    </r>
  </si>
  <si>
    <r>
      <t xml:space="preserve">Población Objetivo: Estimación del </t>
    </r>
    <r>
      <rPr>
        <b/>
        <i/>
        <sz val="22"/>
        <color theme="1"/>
        <rFont val="Book Antiqua"/>
        <family val="1"/>
      </rPr>
      <t>déficit</t>
    </r>
    <r>
      <rPr>
        <sz val="18"/>
        <color theme="1"/>
        <rFont val="Book Antiqua"/>
        <family val="1"/>
      </rPr>
      <t xml:space="preserve"> </t>
    </r>
    <r>
      <rPr>
        <b/>
        <sz val="18"/>
        <color theme="1"/>
        <rFont val="Book Antiqua"/>
        <family val="1"/>
      </rPr>
      <t>actual y proyectado por tipo de residuo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</si>
</sst>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-* #,##0.00\ _€_-;\-* #,##0.00\ _€_-;_-* &quot;-&quot;??\ _€_-;_-@_-"/>
    <numFmt numFmtId="166" formatCode="0.0%"/>
    <numFmt numFmtId="167" formatCode="_-* #,##0\ _€_-;\-* #,##0\ _€_-;_-* &quot;-&quot;??\ _€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vertAlign val="subscript"/>
      <sz val="14"/>
      <color theme="0"/>
      <name val="Calibri"/>
      <family val="2"/>
      <scheme val="minor"/>
    </font>
    <font>
      <b/>
      <vertAlign val="subscript"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000000"/>
      <name val="Book Antiqua"/>
      <family val="1"/>
    </font>
    <font>
      <b/>
      <i/>
      <sz val="7"/>
      <color rgb="FF000000"/>
      <name val="Times New Roman"/>
      <family val="1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  <font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rgb="FF000000"/>
      <name val="Book Antiqua"/>
      <family val="1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Book Antiqua"/>
      <family val="1"/>
    </font>
    <font>
      <b/>
      <i/>
      <sz val="22"/>
      <color theme="1"/>
      <name val="Book Antiqua"/>
      <family val="1"/>
    </font>
    <font>
      <b/>
      <i/>
      <sz val="20"/>
      <color theme="1"/>
      <name val="Book Antiqua"/>
      <family val="1"/>
    </font>
    <font>
      <sz val="18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4">
    <xf numFmtId="0" fontId="0" fillId="0" borderId="0" xfId="0"/>
    <xf numFmtId="2" fontId="11" fillId="3" borderId="1" xfId="0" applyNumberFormat="1" applyFont="1" applyFill="1" applyBorder="1" applyProtection="1"/>
    <xf numFmtId="164" fontId="22" fillId="6" borderId="0" xfId="1" applyFont="1" applyFill="1" applyProtection="1"/>
    <xf numFmtId="0" fontId="0" fillId="0" borderId="0" xfId="0" applyProtection="1">
      <protection locked="0"/>
    </xf>
    <xf numFmtId="0" fontId="21" fillId="0" borderId="0" xfId="0" applyFont="1" applyAlignment="1" applyProtection="1">
      <alignment horizontal="left" vertical="center" indent="7"/>
      <protection locked="0"/>
    </xf>
    <xf numFmtId="0" fontId="20" fillId="0" borderId="0" xfId="0" applyFont="1" applyAlignment="1" applyProtection="1">
      <alignment horizontal="left" vertical="center" indent="7"/>
      <protection locked="0"/>
    </xf>
    <xf numFmtId="0" fontId="4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64" fontId="10" fillId="6" borderId="0" xfId="1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6" fillId="0" borderId="0" xfId="1" applyFont="1" applyProtection="1"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64" fontId="0" fillId="0" borderId="0" xfId="1" applyFont="1" applyProtection="1">
      <protection locked="0"/>
    </xf>
    <xf numFmtId="164" fontId="0" fillId="0" borderId="0" xfId="0" applyNumberFormat="1" applyProtection="1">
      <protection locked="0"/>
    </xf>
    <xf numFmtId="0" fontId="18" fillId="0" borderId="0" xfId="0" applyFont="1" applyAlignment="1" applyProtection="1">
      <alignment horizontal="left" vertical="center" indent="7"/>
      <protection locked="0"/>
    </xf>
    <xf numFmtId="0" fontId="3" fillId="3" borderId="0" xfId="0" applyFont="1" applyFill="1" applyProtection="1">
      <protection locked="0"/>
    </xf>
    <xf numFmtId="164" fontId="3" fillId="3" borderId="0" xfId="1" applyFont="1" applyFill="1" applyProtection="1">
      <protection locked="0"/>
    </xf>
    <xf numFmtId="0" fontId="8" fillId="0" borderId="0" xfId="0" applyFont="1" applyProtection="1"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9" fontId="0" fillId="0" borderId="0" xfId="2" applyFont="1" applyProtection="1">
      <protection locked="0"/>
    </xf>
    <xf numFmtId="166" fontId="0" fillId="0" borderId="0" xfId="2" applyNumberFormat="1" applyFont="1" applyProtection="1">
      <protection locked="0"/>
    </xf>
    <xf numFmtId="0" fontId="22" fillId="7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5" fillId="4" borderId="2" xfId="0" applyNumberFormat="1" applyFont="1" applyFill="1" applyBorder="1" applyAlignment="1" applyProtection="1">
      <alignment horizontal="center"/>
    </xf>
    <xf numFmtId="2" fontId="22" fillId="8" borderId="2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9" fontId="0" fillId="0" borderId="2" xfId="2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11" borderId="2" xfId="0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164" fontId="0" fillId="0" borderId="2" xfId="0" applyNumberFormat="1" applyFill="1" applyBorder="1" applyProtection="1"/>
    <xf numFmtId="164" fontId="0" fillId="2" borderId="2" xfId="0" applyNumberFormat="1" applyFill="1" applyBorder="1" applyProtection="1"/>
    <xf numFmtId="164" fontId="0" fillId="11" borderId="2" xfId="0" applyNumberFormat="1" applyFill="1" applyBorder="1" applyProtection="1"/>
    <xf numFmtId="164" fontId="0" fillId="2" borderId="0" xfId="0" applyNumberFormat="1" applyFill="1" applyProtection="1"/>
    <xf numFmtId="0" fontId="8" fillId="0" borderId="6" xfId="0" applyFont="1" applyFill="1" applyBorder="1" applyProtection="1">
      <protection locked="0"/>
    </xf>
    <xf numFmtId="0" fontId="15" fillId="0" borderId="0" xfId="0" applyFont="1" applyAlignment="1" applyProtection="1">
      <protection locked="0"/>
    </xf>
    <xf numFmtId="9" fontId="0" fillId="0" borderId="2" xfId="2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vertical="center" indent="7"/>
      <protection locked="0"/>
    </xf>
    <xf numFmtId="0" fontId="28" fillId="0" borderId="0" xfId="0" applyFont="1" applyProtection="1">
      <protection locked="0"/>
    </xf>
    <xf numFmtId="164" fontId="0" fillId="0" borderId="2" xfId="0" applyNumberFormat="1" applyFill="1" applyBorder="1" applyAlignment="1" applyProtection="1">
      <alignment horizontal="center"/>
    </xf>
    <xf numFmtId="0" fontId="10" fillId="8" borderId="0" xfId="0" applyFont="1" applyFill="1" applyProtection="1"/>
    <xf numFmtId="9" fontId="0" fillId="0" borderId="0" xfId="0" applyNumberFormat="1" applyProtection="1">
      <protection locked="0"/>
    </xf>
    <xf numFmtId="164" fontId="0" fillId="0" borderId="2" xfId="1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4" fontId="6" fillId="0" borderId="5" xfId="1" applyFont="1" applyFill="1" applyBorder="1" applyAlignment="1" applyProtection="1">
      <alignment horizontal="left" vertical="center"/>
      <protection locked="0"/>
    </xf>
    <xf numFmtId="2" fontId="6" fillId="0" borderId="5" xfId="0" applyNumberFormat="1" applyFont="1" applyFill="1" applyBorder="1" applyAlignment="1" applyProtection="1">
      <alignment horizontal="center"/>
    </xf>
    <xf numFmtId="164" fontId="6" fillId="0" borderId="5" xfId="1" applyFont="1" applyFill="1" applyBorder="1" applyAlignment="1" applyProtection="1">
      <alignment horizontal="center"/>
    </xf>
    <xf numFmtId="164" fontId="22" fillId="8" borderId="5" xfId="1" applyFont="1" applyFill="1" applyBorder="1" applyAlignment="1" applyProtection="1">
      <alignment horizontal="center"/>
    </xf>
    <xf numFmtId="9" fontId="0" fillId="0" borderId="2" xfId="2" applyFont="1" applyFill="1" applyBorder="1" applyProtection="1"/>
    <xf numFmtId="0" fontId="29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protection locked="0"/>
    </xf>
    <xf numFmtId="164" fontId="0" fillId="4" borderId="2" xfId="0" applyNumberFormat="1" applyFill="1" applyBorder="1" applyProtection="1"/>
    <xf numFmtId="0" fontId="16" fillId="0" borderId="0" xfId="0" applyFont="1" applyProtection="1">
      <protection locked="0"/>
    </xf>
    <xf numFmtId="167" fontId="35" fillId="0" borderId="0" xfId="3" applyNumberFormat="1" applyFont="1" applyProtection="1">
      <protection locked="0"/>
    </xf>
    <xf numFmtId="0" fontId="0" fillId="12" borderId="2" xfId="0" applyFill="1" applyBorder="1" applyAlignment="1" applyProtection="1">
      <alignment horizontal="center"/>
      <protection locked="0"/>
    </xf>
    <xf numFmtId="164" fontId="1" fillId="12" borderId="2" xfId="1" applyFont="1" applyFill="1" applyBorder="1" applyAlignment="1" applyProtection="1">
      <alignment horizontal="left" vertical="center"/>
    </xf>
    <xf numFmtId="164" fontId="1" fillId="12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166" fontId="5" fillId="0" borderId="2" xfId="2" applyNumberFormat="1" applyFont="1" applyFill="1" applyBorder="1" applyAlignment="1" applyProtection="1">
      <alignment horizontal="center"/>
      <protection locked="0"/>
    </xf>
    <xf numFmtId="9" fontId="5" fillId="0" borderId="2" xfId="2" applyNumberFormat="1" applyFont="1" applyFill="1" applyBorder="1" applyProtection="1">
      <protection locked="0"/>
    </xf>
    <xf numFmtId="164" fontId="6" fillId="5" borderId="2" xfId="1" applyFont="1" applyFill="1" applyBorder="1" applyAlignment="1" applyProtection="1">
      <alignment horizontal="center" vertical="center"/>
      <protection locked="0"/>
    </xf>
    <xf numFmtId="164" fontId="6" fillId="5" borderId="2" xfId="1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/>
      <protection locked="0"/>
    </xf>
    <xf numFmtId="9" fontId="0" fillId="13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0" fillId="5" borderId="0" xfId="0" applyFill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6" fillId="0" borderId="0" xfId="0" applyFont="1" applyAlignment="1" applyProtection="1">
      <alignment wrapText="1"/>
      <protection locked="0"/>
    </xf>
    <xf numFmtId="0" fontId="2" fillId="10" borderId="7" xfId="0" applyFont="1" applyFill="1" applyBorder="1" applyAlignment="1" applyProtection="1">
      <alignment horizontal="center" vertical="center"/>
      <protection locked="0"/>
    </xf>
    <xf numFmtId="0" fontId="2" fillId="10" borderId="8" xfId="0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2400300</xdr:colOff>
      <xdr:row>4</xdr:row>
      <xdr:rowOff>57150</xdr:rowOff>
    </xdr:from>
    <xdr:to>
      <xdr:col>3</xdr:col>
      <xdr:colOff>2933700</xdr:colOff>
      <xdr:row>6</xdr:row>
      <xdr:rowOff>123825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848225" y="57150"/>
          <a:ext cx="533400" cy="4953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0</xdr:col>
      <xdr:colOff>125943</xdr:colOff>
      <xdr:row>12</xdr:row>
      <xdr:rowOff>61131</xdr:rowOff>
    </xdr:from>
    <xdr:to>
      <xdr:col>3</xdr:col>
      <xdr:colOff>1849967</xdr:colOff>
      <xdr:row>20</xdr:row>
      <xdr:rowOff>181152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43" y="3151464"/>
          <a:ext cx="5724524" cy="1644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8</xdr:row>
      <xdr:rowOff>104775</xdr:rowOff>
    </xdr:from>
    <xdr:to>
      <xdr:col>2</xdr:col>
      <xdr:colOff>819150</xdr:colOff>
      <xdr:row>9</xdr:row>
      <xdr:rowOff>226482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14525"/>
          <a:ext cx="2428875" cy="359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9</xdr:row>
      <xdr:rowOff>219075</xdr:rowOff>
    </xdr:from>
    <xdr:to>
      <xdr:col>5</xdr:col>
      <xdr:colOff>28576</xdr:colOff>
      <xdr:row>12</xdr:row>
      <xdr:rowOff>115992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66950"/>
          <a:ext cx="4772025" cy="61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381000</xdr:colOff>
      <xdr:row>4</xdr:row>
      <xdr:rowOff>67173</xdr:rowOff>
    </xdr:from>
    <xdr:to>
      <xdr:col>7</xdr:col>
      <xdr:colOff>914400</xdr:colOff>
      <xdr:row>4</xdr:row>
      <xdr:rowOff>562473</xdr:rowOff>
    </xdr:to>
    <xdr:sp macro="" textlink="">
      <xdr:nvSpPr>
        <xdr:cNvPr id="6" name="Flecha: hacia abaj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7160559" y="974849"/>
          <a:ext cx="533400" cy="4953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190500</xdr:colOff>
      <xdr:row>15</xdr:row>
      <xdr:rowOff>208684</xdr:rowOff>
    </xdr:from>
    <xdr:to>
      <xdr:col>5</xdr:col>
      <xdr:colOff>134472</xdr:colOff>
      <xdr:row>21</xdr:row>
      <xdr:rowOff>78441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721E5A89-4D86-4408-AF82-9EB58C91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5" y="4074713"/>
          <a:ext cx="4930589" cy="1147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100853</xdr:colOff>
      <xdr:row>14</xdr:row>
      <xdr:rowOff>6282</xdr:rowOff>
    </xdr:from>
    <xdr:to>
      <xdr:col>3</xdr:col>
      <xdr:colOff>885266</xdr:colOff>
      <xdr:row>15</xdr:row>
      <xdr:rowOff>181473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EA34CB3-9451-41E7-BA31-9AB5DDE8B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4118" y="3636988"/>
          <a:ext cx="3686736" cy="410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17</xdr:row>
      <xdr:rowOff>5813</xdr:rowOff>
    </xdr:from>
    <xdr:to>
      <xdr:col>3</xdr:col>
      <xdr:colOff>238125</xdr:colOff>
      <xdr:row>18</xdr:row>
      <xdr:rowOff>190434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349088"/>
          <a:ext cx="1657350" cy="37512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19</xdr:row>
      <xdr:rowOff>16008</xdr:rowOff>
    </xdr:from>
    <xdr:to>
      <xdr:col>6</xdr:col>
      <xdr:colOff>638176</xdr:colOff>
      <xdr:row>23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740283"/>
          <a:ext cx="4324350" cy="765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84666</xdr:colOff>
      <xdr:row>19</xdr:row>
      <xdr:rowOff>31750</xdr:rowOff>
    </xdr:from>
    <xdr:to>
      <xdr:col>15</xdr:col>
      <xdr:colOff>335491</xdr:colOff>
      <xdr:row>25</xdr:row>
      <xdr:rowOff>31750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74F1164-93B0-4962-84AF-561C3DE8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2083" y="3894667"/>
          <a:ext cx="37433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</xdr:row>
      <xdr:rowOff>19050</xdr:rowOff>
    </xdr:from>
    <xdr:to>
      <xdr:col>2</xdr:col>
      <xdr:colOff>819150</xdr:colOff>
      <xdr:row>4</xdr:row>
      <xdr:rowOff>209550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1200150" y="1076325"/>
          <a:ext cx="533400" cy="3810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9</xdr:col>
      <xdr:colOff>148167</xdr:colOff>
      <xdr:row>18</xdr:row>
      <xdr:rowOff>15562</xdr:rowOff>
    </xdr:from>
    <xdr:to>
      <xdr:col>13</xdr:col>
      <xdr:colOff>423334</xdr:colOff>
      <xdr:row>22</xdr:row>
      <xdr:rowOff>162667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EA9CD90-5D2B-4766-9AE4-C4FB6032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656229"/>
          <a:ext cx="3323167" cy="866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17</xdr:row>
      <xdr:rowOff>171077</xdr:rowOff>
    </xdr:from>
    <xdr:to>
      <xdr:col>9</xdr:col>
      <xdr:colOff>704850</xdr:colOff>
      <xdr:row>22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619127"/>
          <a:ext cx="4600575" cy="914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19</xdr:row>
      <xdr:rowOff>106505</xdr:rowOff>
    </xdr:from>
    <xdr:to>
      <xdr:col>3</xdr:col>
      <xdr:colOff>513617</xdr:colOff>
      <xdr:row>21</xdr:row>
      <xdr:rowOff>71168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935555"/>
          <a:ext cx="2066925" cy="345663"/>
        </a:xfrm>
        <a:prstGeom prst="rect">
          <a:avLst/>
        </a:prstGeom>
      </xdr:spPr>
    </xdr:pic>
    <xdr:clientData/>
  </xdr:twoCellAnchor>
  <xdr:twoCellAnchor editAs="oneCell">
    <xdr:from>
      <xdr:col>10</xdr:col>
      <xdr:colOff>58315</xdr:colOff>
      <xdr:row>18</xdr:row>
      <xdr:rowOff>99392</xdr:rowOff>
    </xdr:from>
    <xdr:to>
      <xdr:col>14</xdr:col>
      <xdr:colOff>126351</xdr:colOff>
      <xdr:row>23</xdr:row>
      <xdr:rowOff>54482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95152" y="3763601"/>
          <a:ext cx="3100485" cy="9270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295274</xdr:rowOff>
    </xdr:from>
    <xdr:to>
      <xdr:col>3</xdr:col>
      <xdr:colOff>552450</xdr:colOff>
      <xdr:row>2</xdr:row>
      <xdr:rowOff>175942</xdr:rowOff>
    </xdr:to>
    <xdr:sp macro="" textlink="">
      <xdr:nvSpPr>
        <xdr:cNvPr id="2" name="Flecha: hacia abajo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3171825" y="657224"/>
          <a:ext cx="323850" cy="21404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171450</xdr:colOff>
      <xdr:row>17</xdr:row>
      <xdr:rowOff>104774</xdr:rowOff>
    </xdr:from>
    <xdr:to>
      <xdr:col>8</xdr:col>
      <xdr:colOff>238125</xdr:colOff>
      <xdr:row>20</xdr:row>
      <xdr:rowOff>57149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562349"/>
          <a:ext cx="540067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158748</xdr:colOff>
      <xdr:row>21</xdr:row>
      <xdr:rowOff>33840</xdr:rowOff>
    </xdr:from>
    <xdr:to>
      <xdr:col>7</xdr:col>
      <xdr:colOff>74082</xdr:colOff>
      <xdr:row>24</xdr:row>
      <xdr:rowOff>21166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54350FFE-C0C9-4D64-A6FB-86A69FE3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65" y="4404757"/>
          <a:ext cx="4487334" cy="558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</sheetPr>
  <dimension ref="B1:H12"/>
  <sheetViews>
    <sheetView showGridLines="0" zoomScale="90" zoomScaleNormal="90" workbookViewId="0">
      <selection activeCell="B1" sqref="B1"/>
    </sheetView>
  </sheetViews>
  <sheetFormatPr baseColWidth="10" defaultRowHeight="15" x14ac:dyDescent="0.25"/>
  <cols>
    <col min="1" max="1" width="3.140625" style="3" customWidth="1"/>
    <col min="2" max="2" width="43" style="3" customWidth="1"/>
    <col min="3" max="3" width="13.85546875" style="3" customWidth="1"/>
    <col min="4" max="4" width="45.140625" style="3" customWidth="1"/>
    <col min="5" max="5" width="6.7109375" style="3" customWidth="1"/>
    <col min="6" max="6" width="11.42578125" style="3"/>
    <col min="7" max="7" width="16.85546875" style="3" bestFit="1" customWidth="1"/>
    <col min="8" max="8" width="7.140625" style="3" customWidth="1"/>
    <col min="9" max="16384" width="11.42578125" style="3"/>
  </cols>
  <sheetData>
    <row r="1" spans="2:8" ht="23.25" x14ac:dyDescent="0.25">
      <c r="B1" s="77" t="s">
        <v>34</v>
      </c>
    </row>
    <row r="2" spans="2:8" ht="15.75" x14ac:dyDescent="0.25">
      <c r="B2" s="62" t="s">
        <v>48</v>
      </c>
    </row>
    <row r="3" spans="2:8" ht="15.75" x14ac:dyDescent="0.25">
      <c r="B3" s="4"/>
    </row>
    <row r="4" spans="2:8" ht="16.5" x14ac:dyDescent="0.25">
      <c r="B4" s="5"/>
    </row>
    <row r="5" spans="2:8" ht="18.75" x14ac:dyDescent="0.3">
      <c r="B5" s="6" t="s">
        <v>32</v>
      </c>
      <c r="C5" s="7"/>
      <c r="E5" s="79" t="s">
        <v>47</v>
      </c>
      <c r="F5" s="80"/>
      <c r="G5" s="80"/>
      <c r="H5" s="80"/>
    </row>
    <row r="6" spans="2:8" ht="21" customHeight="1" x14ac:dyDescent="0.25">
      <c r="C6" s="8"/>
      <c r="E6" s="80"/>
      <c r="F6" s="80"/>
      <c r="G6" s="80"/>
      <c r="H6" s="80"/>
    </row>
    <row r="7" spans="2:8" x14ac:dyDescent="0.25">
      <c r="C7" s="8"/>
    </row>
    <row r="8" spans="2:8" ht="18.75" x14ac:dyDescent="0.3">
      <c r="B8" s="9" t="s">
        <v>35</v>
      </c>
      <c r="C8" s="10"/>
      <c r="D8" s="11">
        <v>43537</v>
      </c>
      <c r="E8" s="12"/>
      <c r="F8" s="51" t="s">
        <v>0</v>
      </c>
      <c r="G8" s="2">
        <f>D8*1000</f>
        <v>43537000</v>
      </c>
    </row>
    <row r="9" spans="2:8" ht="18.75" x14ac:dyDescent="0.3">
      <c r="B9" s="9" t="s">
        <v>36</v>
      </c>
      <c r="C9" s="10"/>
      <c r="D9" s="11">
        <v>124150</v>
      </c>
      <c r="E9" s="12"/>
      <c r="F9" s="51" t="s">
        <v>1</v>
      </c>
      <c r="G9" s="2">
        <f>D9*365</f>
        <v>45314750</v>
      </c>
    </row>
    <row r="10" spans="2:8" ht="19.5" thickBot="1" x14ac:dyDescent="0.35">
      <c r="B10" s="9"/>
      <c r="C10" s="10"/>
      <c r="D10" s="9"/>
      <c r="E10" s="9"/>
      <c r="F10" s="13"/>
      <c r="G10" s="14"/>
    </row>
    <row r="11" spans="2:8" ht="27.75" thickTop="1" thickBot="1" x14ac:dyDescent="0.45">
      <c r="B11" s="15" t="s">
        <v>2</v>
      </c>
      <c r="C11" s="16"/>
      <c r="D11" s="1">
        <f>G8/G9</f>
        <v>0.96076884458151046</v>
      </c>
    </row>
    <row r="12" spans="2:8" ht="15.75" thickTop="1" x14ac:dyDescent="0.25">
      <c r="B12" s="61"/>
      <c r="C12" s="61"/>
    </row>
  </sheetData>
  <sheetProtection algorithmName="SHA-512" hashValue="KMS/4n4Qv8YODvu7xYYqZhiXpUclWM2UosD4OSt9emyHqb6TWt8kqzA6L0n9YH0wYpQGNJGhFVj+OQWNlw063w==" saltValue="qKaUdrM28uh93N2wdR7/eA==" spinCount="100000" sheet="1" objects="1" scenarios="1"/>
  <mergeCells count="1">
    <mergeCell ref="E5:H6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P21"/>
  <sheetViews>
    <sheetView showGridLines="0" zoomScale="85" zoomScaleNormal="85" workbookViewId="0">
      <selection activeCell="G23" sqref="G23"/>
    </sheetView>
  </sheetViews>
  <sheetFormatPr baseColWidth="10" defaultRowHeight="15" x14ac:dyDescent="0.25"/>
  <cols>
    <col min="1" max="1" width="1.85546875" style="3" customWidth="1"/>
    <col min="2" max="2" width="26.85546875" style="3" customWidth="1"/>
    <col min="3" max="3" width="16.5703125" style="3" customWidth="1"/>
    <col min="4" max="4" width="18.5703125" style="3" customWidth="1"/>
    <col min="5" max="5" width="12.5703125" style="17" customWidth="1"/>
    <col min="6" max="6" width="11.42578125" style="3"/>
    <col min="7" max="7" width="13.5703125" style="3" customWidth="1"/>
    <col min="8" max="8" width="18.28515625" style="3" customWidth="1"/>
    <col min="9" max="9" width="13.7109375" style="3" customWidth="1"/>
    <col min="10" max="10" width="15.85546875" style="3" customWidth="1"/>
    <col min="11" max="16384" width="11.42578125" style="3"/>
  </cols>
  <sheetData>
    <row r="1" spans="1:16" ht="27" customHeight="1" x14ac:dyDescent="0.25">
      <c r="B1" s="77" t="s">
        <v>45</v>
      </c>
      <c r="C1" s="48"/>
      <c r="E1" s="3"/>
      <c r="F1" s="17"/>
      <c r="G1" s="18"/>
    </row>
    <row r="2" spans="1:16" x14ac:dyDescent="0.25">
      <c r="H2" s="87" t="s">
        <v>41</v>
      </c>
      <c r="I2" s="87"/>
      <c r="J2" s="88"/>
    </row>
    <row r="3" spans="1:16" ht="23.25" x14ac:dyDescent="0.35">
      <c r="A3" s="19" t="s">
        <v>33</v>
      </c>
      <c r="B3" s="83" t="s">
        <v>3</v>
      </c>
      <c r="C3" s="83"/>
      <c r="D3" s="20"/>
      <c r="E3" s="21"/>
      <c r="H3" s="87"/>
      <c r="I3" s="87"/>
      <c r="J3" s="88"/>
    </row>
    <row r="4" spans="1:16" ht="6" customHeight="1" x14ac:dyDescent="0.25">
      <c r="H4" s="3" t="s">
        <v>40</v>
      </c>
      <c r="I4" s="22"/>
    </row>
    <row r="5" spans="1:16" ht="48" customHeight="1" x14ac:dyDescent="0.25">
      <c r="B5" s="23" t="s">
        <v>8</v>
      </c>
      <c r="C5" s="23" t="s">
        <v>5</v>
      </c>
      <c r="D5" s="23" t="s">
        <v>6</v>
      </c>
      <c r="E5" s="23" t="s">
        <v>39</v>
      </c>
    </row>
    <row r="6" spans="1:16" ht="18.75" x14ac:dyDescent="0.3">
      <c r="B6" s="28">
        <f>'Cálculo PPC'!D11</f>
        <v>0.96076884458151046</v>
      </c>
      <c r="C6" s="73" t="s">
        <v>7</v>
      </c>
      <c r="D6" s="73">
        <v>1.7999999999999999E-2</v>
      </c>
      <c r="E6" s="74">
        <v>1</v>
      </c>
      <c r="G6" s="81" t="s">
        <v>4</v>
      </c>
      <c r="H6" s="81" t="s">
        <v>42</v>
      </c>
      <c r="I6" s="81" t="s">
        <v>23</v>
      </c>
      <c r="J6" s="81" t="s">
        <v>24</v>
      </c>
    </row>
    <row r="7" spans="1:16" x14ac:dyDescent="0.25">
      <c r="G7" s="82"/>
      <c r="H7" s="82"/>
      <c r="I7" s="82"/>
      <c r="J7" s="82"/>
      <c r="K7" s="24"/>
    </row>
    <row r="8" spans="1:16" ht="20.25" x14ac:dyDescent="0.3">
      <c r="B8" s="84" t="s">
        <v>37</v>
      </c>
      <c r="C8" s="85"/>
      <c r="D8" s="86"/>
      <c r="G8" s="54">
        <v>2019</v>
      </c>
      <c r="H8" s="55">
        <v>124150</v>
      </c>
      <c r="I8" s="56">
        <f>B6</f>
        <v>0.96076884458151046</v>
      </c>
      <c r="J8" s="57">
        <f>(I8*$E$6*H8)*365/1000</f>
        <v>43537</v>
      </c>
      <c r="K8" s="17"/>
      <c r="L8" s="18"/>
      <c r="P8" s="25"/>
    </row>
    <row r="9" spans="1:16" ht="18.75" x14ac:dyDescent="0.3">
      <c r="G9" s="26">
        <v>2020</v>
      </c>
      <c r="H9" s="75">
        <v>129999</v>
      </c>
      <c r="I9" s="29">
        <f>I8*(1+$D$6)</f>
        <v>0.97806268378397765</v>
      </c>
      <c r="J9" s="58">
        <f t="shared" ref="J9:J18" si="0">(I9*$E$6*H9)*365/1000</f>
        <v>46408.717352670159</v>
      </c>
      <c r="K9" s="24"/>
    </row>
    <row r="10" spans="1:16" ht="18.75" x14ac:dyDescent="0.3">
      <c r="G10" s="26">
        <v>2021</v>
      </c>
      <c r="H10" s="76">
        <v>134085</v>
      </c>
      <c r="I10" s="29">
        <f t="shared" ref="I10:I18" si="1">I9*(1+$D$6)</f>
        <v>0.99566781209208921</v>
      </c>
      <c r="J10" s="58">
        <f t="shared" si="0"/>
        <v>48729.003283294245</v>
      </c>
    </row>
    <row r="11" spans="1:16" ht="18.75" x14ac:dyDescent="0.3">
      <c r="G11" s="26">
        <v>2022</v>
      </c>
      <c r="H11" s="75">
        <v>137263</v>
      </c>
      <c r="I11" s="29">
        <f>I10*(1+$D$6)</f>
        <v>1.0135898327097468</v>
      </c>
      <c r="J11" s="58">
        <f t="shared" si="0"/>
        <v>50781.859140641864</v>
      </c>
      <c r="L11" s="27"/>
      <c r="M11" s="27"/>
    </row>
    <row r="12" spans="1:16" ht="18.75" x14ac:dyDescent="0.3">
      <c r="G12" s="26">
        <v>2023</v>
      </c>
      <c r="H12" s="75">
        <v>140282</v>
      </c>
      <c r="I12" s="29">
        <f t="shared" si="1"/>
        <v>1.0318344496985223</v>
      </c>
      <c r="J12" s="58">
        <f t="shared" si="0"/>
        <v>52832.947099501958</v>
      </c>
      <c r="L12" s="17"/>
      <c r="M12" s="18"/>
    </row>
    <row r="13" spans="1:16" ht="18.75" x14ac:dyDescent="0.3">
      <c r="G13" s="26">
        <v>2024</v>
      </c>
      <c r="H13" s="75">
        <v>143294</v>
      </c>
      <c r="I13" s="29">
        <f t="shared" si="1"/>
        <v>1.0504074697930958</v>
      </c>
      <c r="J13" s="58">
        <f t="shared" si="0"/>
        <v>54938.737111434137</v>
      </c>
      <c r="L13" s="17"/>
      <c r="M13" s="18"/>
    </row>
    <row r="14" spans="1:16" ht="20.25" x14ac:dyDescent="0.3">
      <c r="B14" s="84" t="s">
        <v>38</v>
      </c>
      <c r="C14" s="85"/>
      <c r="D14" s="86"/>
      <c r="G14" s="26">
        <v>2025</v>
      </c>
      <c r="H14" s="75">
        <v>146337</v>
      </c>
      <c r="I14" s="29">
        <f t="shared" si="1"/>
        <v>1.0693148042493716</v>
      </c>
      <c r="J14" s="58">
        <f t="shared" si="0"/>
        <v>57115.316985945712</v>
      </c>
      <c r="L14" s="17"/>
      <c r="M14" s="18"/>
    </row>
    <row r="15" spans="1:16" ht="18.75" x14ac:dyDescent="0.3">
      <c r="G15" s="26">
        <v>2026</v>
      </c>
      <c r="H15" s="75">
        <v>149416</v>
      </c>
      <c r="I15" s="29">
        <f t="shared" si="1"/>
        <v>1.0885624707258603</v>
      </c>
      <c r="J15" s="58">
        <f t="shared" si="0"/>
        <v>59366.757295980926</v>
      </c>
      <c r="L15" s="17"/>
      <c r="M15" s="18"/>
    </row>
    <row r="16" spans="1:16" ht="18.75" x14ac:dyDescent="0.3">
      <c r="G16" s="26">
        <v>2027</v>
      </c>
      <c r="H16" s="75">
        <v>152532</v>
      </c>
      <c r="I16" s="29">
        <f t="shared" si="1"/>
        <v>1.1081565951989258</v>
      </c>
      <c r="J16" s="58">
        <f t="shared" si="0"/>
        <v>61695.709749292131</v>
      </c>
      <c r="L16" s="17"/>
      <c r="M16" s="18"/>
    </row>
    <row r="17" spans="7:13" ht="18.75" x14ac:dyDescent="0.3">
      <c r="G17" s="26">
        <v>2028</v>
      </c>
      <c r="H17" s="75">
        <v>155681</v>
      </c>
      <c r="I17" s="29">
        <f t="shared" si="1"/>
        <v>1.1281034139125066</v>
      </c>
      <c r="J17" s="58">
        <f t="shared" si="0"/>
        <v>64102.857667179225</v>
      </c>
      <c r="L17" s="17"/>
      <c r="M17" s="18"/>
    </row>
    <row r="18" spans="7:13" ht="18.75" x14ac:dyDescent="0.3">
      <c r="G18" s="26">
        <v>2029</v>
      </c>
      <c r="H18" s="75">
        <v>158866</v>
      </c>
      <c r="I18" s="29">
        <f t="shared" si="1"/>
        <v>1.1484092753629318</v>
      </c>
      <c r="J18" s="58">
        <f t="shared" si="0"/>
        <v>66591.763598029735</v>
      </c>
      <c r="L18" s="17"/>
      <c r="M18" s="18"/>
    </row>
    <row r="19" spans="7:13" x14ac:dyDescent="0.25">
      <c r="L19" s="17"/>
      <c r="M19" s="18"/>
    </row>
    <row r="20" spans="7:13" x14ac:dyDescent="0.25">
      <c r="L20" s="17"/>
      <c r="M20" s="18"/>
    </row>
    <row r="21" spans="7:13" x14ac:dyDescent="0.25">
      <c r="L21" s="17"/>
      <c r="M21" s="18"/>
    </row>
  </sheetData>
  <mergeCells count="8">
    <mergeCell ref="J6:J7"/>
    <mergeCell ref="B3:C3"/>
    <mergeCell ref="B8:D8"/>
    <mergeCell ref="B14:D14"/>
    <mergeCell ref="G6:G7"/>
    <mergeCell ref="H6:H7"/>
    <mergeCell ref="I6:I7"/>
    <mergeCell ref="H2:J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</sheetPr>
  <dimension ref="B1:Q18"/>
  <sheetViews>
    <sheetView showGridLines="0" topLeftCell="A7" zoomScale="90" zoomScaleNormal="90" workbookViewId="0">
      <selection activeCell="I7" sqref="I7"/>
    </sheetView>
  </sheetViews>
  <sheetFormatPr baseColWidth="10" defaultRowHeight="15" x14ac:dyDescent="0.25"/>
  <cols>
    <col min="1" max="1" width="1.28515625" style="3" customWidth="1"/>
    <col min="2" max="2" width="15.140625" style="3" customWidth="1"/>
    <col min="3" max="3" width="11.42578125" style="3"/>
    <col min="4" max="4" width="16.140625" style="3" customWidth="1"/>
    <col min="5" max="6" width="7.42578125" style="3" customWidth="1"/>
    <col min="7" max="8" width="11.42578125" style="3"/>
    <col min="9" max="16" width="10.42578125" style="3" customWidth="1"/>
    <col min="17" max="16384" width="11.42578125" style="3"/>
  </cols>
  <sheetData>
    <row r="1" spans="2:17" ht="23.25" x14ac:dyDescent="0.25">
      <c r="B1" s="77" t="s">
        <v>46</v>
      </c>
    </row>
    <row r="2" spans="2:17" ht="16.5" x14ac:dyDescent="0.25">
      <c r="B2" s="31" t="s">
        <v>54</v>
      </c>
    </row>
    <row r="3" spans="2:17" ht="15.75" x14ac:dyDescent="0.25">
      <c r="B3" s="30"/>
    </row>
    <row r="4" spans="2:17" x14ac:dyDescent="0.25">
      <c r="B4" s="32" t="s">
        <v>9</v>
      </c>
      <c r="C4" s="44">
        <f>+'Proyeccion cant residuos'!J8</f>
        <v>43537</v>
      </c>
    </row>
    <row r="5" spans="2:17" ht="18.75" x14ac:dyDescent="0.25">
      <c r="G5" s="89" t="s">
        <v>21</v>
      </c>
      <c r="H5" s="89" t="s">
        <v>25</v>
      </c>
      <c r="I5" s="90" t="s">
        <v>52</v>
      </c>
      <c r="J5" s="90"/>
      <c r="K5" s="90"/>
      <c r="L5" s="90"/>
      <c r="M5" s="90"/>
      <c r="N5" s="90"/>
      <c r="O5" s="90"/>
      <c r="P5" s="90"/>
    </row>
    <row r="6" spans="2:17" ht="19.5" customHeight="1" x14ac:dyDescent="0.25">
      <c r="B6" s="33" t="s">
        <v>10</v>
      </c>
      <c r="C6" s="33" t="s">
        <v>11</v>
      </c>
      <c r="D6" s="33" t="s">
        <v>12</v>
      </c>
      <c r="G6" s="89"/>
      <c r="H6" s="89" t="s">
        <v>0</v>
      </c>
      <c r="I6" s="34" t="s">
        <v>13</v>
      </c>
      <c r="J6" s="34" t="s">
        <v>14</v>
      </c>
      <c r="K6" s="34" t="s">
        <v>15</v>
      </c>
      <c r="L6" s="34" t="s">
        <v>16</v>
      </c>
      <c r="M6" s="34" t="s">
        <v>17</v>
      </c>
      <c r="N6" s="34" t="s">
        <v>18</v>
      </c>
      <c r="O6" s="34" t="s">
        <v>22</v>
      </c>
      <c r="P6" s="34" t="s">
        <v>43</v>
      </c>
    </row>
    <row r="7" spans="2:17" x14ac:dyDescent="0.25">
      <c r="B7" s="35" t="s">
        <v>13</v>
      </c>
      <c r="C7" s="36">
        <v>0.12</v>
      </c>
      <c r="D7" s="41">
        <f t="shared" ref="D7:D15" si="0">C7*$C$4</f>
        <v>5224.4399999999996</v>
      </c>
      <c r="G7" s="37">
        <v>2019</v>
      </c>
      <c r="H7" s="42">
        <f>'Proyeccion cant residuos'!J8</f>
        <v>43537</v>
      </c>
      <c r="I7" s="41">
        <f>H7*$C$7</f>
        <v>5224.4399999999996</v>
      </c>
      <c r="J7" s="41">
        <f>H7*$C$8</f>
        <v>870.74</v>
      </c>
      <c r="K7" s="66">
        <f>H7*$C$9</f>
        <v>1741.48</v>
      </c>
      <c r="L7" s="66">
        <f>H7*$C$10</f>
        <v>1306.1099999999999</v>
      </c>
      <c r="M7" s="41">
        <f>H7*$C$11</f>
        <v>6530.55</v>
      </c>
      <c r="N7" s="41">
        <f t="shared" ref="N7:N17" si="1">H7*$C$12</f>
        <v>2176.85</v>
      </c>
      <c r="O7" s="41">
        <f t="shared" ref="O7:O17" si="2">H7*$C$13</f>
        <v>21768.5</v>
      </c>
      <c r="P7" s="41">
        <f t="shared" ref="P7:P17" si="3">H7*$C$14</f>
        <v>3918.33</v>
      </c>
      <c r="Q7" s="18"/>
    </row>
    <row r="8" spans="2:17" x14ac:dyDescent="0.25">
      <c r="B8" s="35" t="s">
        <v>14</v>
      </c>
      <c r="C8" s="36">
        <v>0.02</v>
      </c>
      <c r="D8" s="41">
        <f t="shared" si="0"/>
        <v>870.74</v>
      </c>
      <c r="G8" s="38">
        <v>2020</v>
      </c>
      <c r="H8" s="43">
        <f>'Proyeccion cant residuos'!J9</f>
        <v>46408.717352670159</v>
      </c>
      <c r="I8" s="41">
        <f t="shared" ref="I8:I17" si="4">H8*$C$7</f>
        <v>5569.0460823204185</v>
      </c>
      <c r="J8" s="41">
        <f t="shared" ref="J8:J17" si="5">H8*$C$8</f>
        <v>928.17434705340315</v>
      </c>
      <c r="K8" s="41">
        <f t="shared" ref="K8:K17" si="6">H8*$C$9</f>
        <v>1856.3486941068063</v>
      </c>
      <c r="L8" s="41">
        <f t="shared" ref="L8:L17" si="7">H8*$C$10</f>
        <v>1392.2615205801046</v>
      </c>
      <c r="M8" s="41">
        <f t="shared" ref="M8:M17" si="8">H8*$C$11</f>
        <v>6961.3076029005233</v>
      </c>
      <c r="N8" s="41">
        <f t="shared" si="1"/>
        <v>2320.4358676335082</v>
      </c>
      <c r="O8" s="41">
        <f t="shared" si="2"/>
        <v>23204.35867633508</v>
      </c>
      <c r="P8" s="41">
        <f t="shared" si="3"/>
        <v>4176.7845617403145</v>
      </c>
      <c r="Q8" s="18"/>
    </row>
    <row r="9" spans="2:17" x14ac:dyDescent="0.25">
      <c r="B9" s="35" t="s">
        <v>15</v>
      </c>
      <c r="C9" s="36">
        <v>0.04</v>
      </c>
      <c r="D9" s="41">
        <f t="shared" si="0"/>
        <v>1741.48</v>
      </c>
      <c r="G9" s="38">
        <v>2021</v>
      </c>
      <c r="H9" s="43">
        <f>'Proyeccion cant residuos'!J10</f>
        <v>48729.003283294245</v>
      </c>
      <c r="I9" s="41">
        <f t="shared" si="4"/>
        <v>5847.480393995309</v>
      </c>
      <c r="J9" s="41">
        <f t="shared" si="5"/>
        <v>974.58006566588494</v>
      </c>
      <c r="K9" s="41">
        <f t="shared" si="6"/>
        <v>1949.1601313317699</v>
      </c>
      <c r="L9" s="41">
        <f t="shared" si="7"/>
        <v>1461.8700984988272</v>
      </c>
      <c r="M9" s="41">
        <f t="shared" si="8"/>
        <v>7309.3504924941362</v>
      </c>
      <c r="N9" s="41">
        <f t="shared" si="1"/>
        <v>2436.4501641647125</v>
      </c>
      <c r="O9" s="41">
        <f t="shared" si="2"/>
        <v>24364.501641647123</v>
      </c>
      <c r="P9" s="41">
        <f t="shared" si="3"/>
        <v>4385.6102954964817</v>
      </c>
      <c r="Q9" s="18"/>
    </row>
    <row r="10" spans="2:17" x14ac:dyDescent="0.25">
      <c r="B10" s="35" t="s">
        <v>16</v>
      </c>
      <c r="C10" s="36">
        <v>0.03</v>
      </c>
      <c r="D10" s="41">
        <f t="shared" si="0"/>
        <v>1306.1099999999999</v>
      </c>
      <c r="G10" s="38">
        <v>2022</v>
      </c>
      <c r="H10" s="43">
        <f>'Proyeccion cant residuos'!J11</f>
        <v>50781.859140641864</v>
      </c>
      <c r="I10" s="41">
        <f t="shared" si="4"/>
        <v>6093.8230968770231</v>
      </c>
      <c r="J10" s="41">
        <f t="shared" si="5"/>
        <v>1015.6371828128373</v>
      </c>
      <c r="K10" s="41">
        <f t="shared" si="6"/>
        <v>2031.2743656256746</v>
      </c>
      <c r="L10" s="41">
        <f t="shared" si="7"/>
        <v>1523.4557742192558</v>
      </c>
      <c r="M10" s="41">
        <f t="shared" si="8"/>
        <v>7617.2788710962795</v>
      </c>
      <c r="N10" s="41">
        <f t="shared" si="1"/>
        <v>2539.0929570320932</v>
      </c>
      <c r="O10" s="41">
        <f t="shared" si="2"/>
        <v>25390.929570320932</v>
      </c>
      <c r="P10" s="41">
        <f t="shared" si="3"/>
        <v>4570.3673226577675</v>
      </c>
      <c r="Q10" s="18"/>
    </row>
    <row r="11" spans="2:17" x14ac:dyDescent="0.25">
      <c r="B11" s="35" t="s">
        <v>17</v>
      </c>
      <c r="C11" s="36">
        <v>0.15</v>
      </c>
      <c r="D11" s="41">
        <f t="shared" si="0"/>
        <v>6530.55</v>
      </c>
      <c r="G11" s="38">
        <v>2023</v>
      </c>
      <c r="H11" s="43">
        <f>'Proyeccion cant residuos'!J12</f>
        <v>52832.947099501958</v>
      </c>
      <c r="I11" s="41">
        <f t="shared" si="4"/>
        <v>6339.9536519402345</v>
      </c>
      <c r="J11" s="41">
        <f t="shared" si="5"/>
        <v>1056.6589419900392</v>
      </c>
      <c r="K11" s="41">
        <f t="shared" si="6"/>
        <v>2113.3178839800785</v>
      </c>
      <c r="L11" s="41">
        <f t="shared" si="7"/>
        <v>1584.9884129850586</v>
      </c>
      <c r="M11" s="41">
        <f t="shared" si="8"/>
        <v>7924.9420649252934</v>
      </c>
      <c r="N11" s="41">
        <f t="shared" si="1"/>
        <v>2641.6473549750981</v>
      </c>
      <c r="O11" s="41">
        <f t="shared" si="2"/>
        <v>26416.473549750979</v>
      </c>
      <c r="P11" s="41">
        <f t="shared" si="3"/>
        <v>4754.9652389551757</v>
      </c>
      <c r="Q11" s="18"/>
    </row>
    <row r="12" spans="2:17" x14ac:dyDescent="0.25">
      <c r="B12" s="35" t="s">
        <v>18</v>
      </c>
      <c r="C12" s="36">
        <v>0.05</v>
      </c>
      <c r="D12" s="41">
        <f t="shared" si="0"/>
        <v>2176.85</v>
      </c>
      <c r="G12" s="38">
        <v>2024</v>
      </c>
      <c r="H12" s="43">
        <f>'Proyeccion cant residuos'!J13</f>
        <v>54938.737111434137</v>
      </c>
      <c r="I12" s="41">
        <f t="shared" si="4"/>
        <v>6592.6484533720959</v>
      </c>
      <c r="J12" s="41">
        <f t="shared" si="5"/>
        <v>1098.7747422286827</v>
      </c>
      <c r="K12" s="41">
        <f t="shared" si="6"/>
        <v>2197.5494844573655</v>
      </c>
      <c r="L12" s="41">
        <f t="shared" si="7"/>
        <v>1648.162113343024</v>
      </c>
      <c r="M12" s="41">
        <f t="shared" si="8"/>
        <v>8240.8105667151194</v>
      </c>
      <c r="N12" s="41">
        <f t="shared" si="1"/>
        <v>2746.9368555717069</v>
      </c>
      <c r="O12" s="41">
        <f t="shared" si="2"/>
        <v>27469.368555717068</v>
      </c>
      <c r="P12" s="41">
        <f t="shared" si="3"/>
        <v>4944.4863400290724</v>
      </c>
      <c r="Q12" s="18"/>
    </row>
    <row r="13" spans="2:17" x14ac:dyDescent="0.25">
      <c r="B13" s="35" t="s">
        <v>19</v>
      </c>
      <c r="C13" s="36">
        <v>0.5</v>
      </c>
      <c r="D13" s="41">
        <f t="shared" si="0"/>
        <v>21768.5</v>
      </c>
      <c r="G13" s="38">
        <v>2025</v>
      </c>
      <c r="H13" s="43">
        <f>'Proyeccion cant residuos'!J14</f>
        <v>57115.316985945712</v>
      </c>
      <c r="I13" s="41">
        <f t="shared" si="4"/>
        <v>6853.8380383134854</v>
      </c>
      <c r="J13" s="41">
        <f t="shared" si="5"/>
        <v>1142.3063397189142</v>
      </c>
      <c r="K13" s="41">
        <f t="shared" si="6"/>
        <v>2284.6126794378283</v>
      </c>
      <c r="L13" s="41">
        <f t="shared" si="7"/>
        <v>1713.4595095783714</v>
      </c>
      <c r="M13" s="41">
        <f t="shared" si="8"/>
        <v>8567.2975478918561</v>
      </c>
      <c r="N13" s="41">
        <f t="shared" si="1"/>
        <v>2855.765849297286</v>
      </c>
      <c r="O13" s="41">
        <f t="shared" si="2"/>
        <v>28557.658492972856</v>
      </c>
      <c r="P13" s="41">
        <f t="shared" si="3"/>
        <v>5140.3785287351138</v>
      </c>
      <c r="Q13" s="18"/>
    </row>
    <row r="14" spans="2:17" x14ac:dyDescent="0.25">
      <c r="B14" s="35" t="s">
        <v>43</v>
      </c>
      <c r="C14" s="36">
        <v>0.09</v>
      </c>
      <c r="D14" s="41">
        <f t="shared" si="0"/>
        <v>3918.33</v>
      </c>
      <c r="G14" s="38">
        <v>2026</v>
      </c>
      <c r="H14" s="43">
        <f>'Proyeccion cant residuos'!J15</f>
        <v>59366.757295980926</v>
      </c>
      <c r="I14" s="41">
        <f t="shared" si="4"/>
        <v>7124.0108755177107</v>
      </c>
      <c r="J14" s="41">
        <f t="shared" si="5"/>
        <v>1187.3351459196185</v>
      </c>
      <c r="K14" s="41">
        <f t="shared" si="6"/>
        <v>2374.6702918392371</v>
      </c>
      <c r="L14" s="41">
        <f t="shared" si="7"/>
        <v>1781.0027188794277</v>
      </c>
      <c r="M14" s="41">
        <f t="shared" si="8"/>
        <v>8905.0135943971381</v>
      </c>
      <c r="N14" s="41">
        <f t="shared" si="1"/>
        <v>2968.3378647990467</v>
      </c>
      <c r="O14" s="41">
        <f t="shared" si="2"/>
        <v>29683.378647990463</v>
      </c>
      <c r="P14" s="41">
        <f t="shared" si="3"/>
        <v>5343.0081566382833</v>
      </c>
      <c r="Q14" s="18"/>
    </row>
    <row r="15" spans="2:17" x14ac:dyDescent="0.25">
      <c r="B15" s="35" t="s">
        <v>20</v>
      </c>
      <c r="C15" s="59">
        <f>SUM(C7:C14)</f>
        <v>0.99999999999999989</v>
      </c>
      <c r="D15" s="42">
        <f t="shared" si="0"/>
        <v>43536.999999999993</v>
      </c>
      <c r="G15" s="38">
        <v>2027</v>
      </c>
      <c r="H15" s="43">
        <f>'Proyeccion cant residuos'!J16</f>
        <v>61695.709749292131</v>
      </c>
      <c r="I15" s="41">
        <f t="shared" si="4"/>
        <v>7403.4851699150558</v>
      </c>
      <c r="J15" s="41">
        <f t="shared" si="5"/>
        <v>1233.9141949858426</v>
      </c>
      <c r="K15" s="41">
        <f t="shared" si="6"/>
        <v>2467.8283899716853</v>
      </c>
      <c r="L15" s="41">
        <f t="shared" si="7"/>
        <v>1850.871292478764</v>
      </c>
      <c r="M15" s="41">
        <f t="shared" si="8"/>
        <v>9254.35646239382</v>
      </c>
      <c r="N15" s="41">
        <f t="shared" si="1"/>
        <v>3084.7854874646068</v>
      </c>
      <c r="O15" s="41">
        <f t="shared" si="2"/>
        <v>30847.854874646066</v>
      </c>
      <c r="P15" s="41">
        <f t="shared" si="3"/>
        <v>5552.6138774362917</v>
      </c>
      <c r="Q15" s="18"/>
    </row>
    <row r="16" spans="2:17" x14ac:dyDescent="0.25">
      <c r="B16" s="45" t="s">
        <v>44</v>
      </c>
      <c r="G16" s="38">
        <v>2028</v>
      </c>
      <c r="H16" s="43">
        <f>'Proyeccion cant residuos'!J17</f>
        <v>64102.857667179225</v>
      </c>
      <c r="I16" s="41">
        <f t="shared" si="4"/>
        <v>7692.3429200615064</v>
      </c>
      <c r="J16" s="41">
        <f t="shared" si="5"/>
        <v>1282.0571533435846</v>
      </c>
      <c r="K16" s="41">
        <f t="shared" si="6"/>
        <v>2564.1143066871691</v>
      </c>
      <c r="L16" s="41">
        <f t="shared" si="7"/>
        <v>1923.0857300153766</v>
      </c>
      <c r="M16" s="41">
        <f t="shared" si="8"/>
        <v>9615.4286500768831</v>
      </c>
      <c r="N16" s="41">
        <f t="shared" si="1"/>
        <v>3205.1428833589616</v>
      </c>
      <c r="O16" s="41">
        <f t="shared" si="2"/>
        <v>32051.428833589613</v>
      </c>
      <c r="P16" s="41">
        <f t="shared" si="3"/>
        <v>5769.2571900461298</v>
      </c>
      <c r="Q16" s="18"/>
    </row>
    <row r="17" spans="2:17" x14ac:dyDescent="0.25">
      <c r="G17" s="38">
        <v>2029</v>
      </c>
      <c r="H17" s="43">
        <f>'Proyeccion cant residuos'!J18</f>
        <v>66591.763598029735</v>
      </c>
      <c r="I17" s="41">
        <f t="shared" si="4"/>
        <v>7991.0116317635675</v>
      </c>
      <c r="J17" s="41">
        <f t="shared" si="5"/>
        <v>1331.8352719605948</v>
      </c>
      <c r="K17" s="41">
        <f t="shared" si="6"/>
        <v>2663.6705439211896</v>
      </c>
      <c r="L17" s="41">
        <f t="shared" si="7"/>
        <v>1997.7529079408919</v>
      </c>
      <c r="M17" s="41">
        <f t="shared" si="8"/>
        <v>9988.7645397044598</v>
      </c>
      <c r="N17" s="41">
        <f t="shared" si="1"/>
        <v>3329.5881799014869</v>
      </c>
      <c r="O17" s="41">
        <f t="shared" si="2"/>
        <v>33295.881799014867</v>
      </c>
      <c r="P17" s="41">
        <f t="shared" si="3"/>
        <v>5993.2587238226761</v>
      </c>
      <c r="Q17" s="18"/>
    </row>
    <row r="18" spans="2:17" x14ac:dyDescent="0.25">
      <c r="B18" s="39"/>
      <c r="C18" s="40"/>
      <c r="D18" s="40"/>
      <c r="G18" s="22" t="s">
        <v>44</v>
      </c>
    </row>
  </sheetData>
  <sheetProtection algorithmName="SHA-512" hashValue="OlNtIYlpJzAVM9pmbzJgulqosWxqgkdD85b9sxXlzHrTXnTL3yh4dn/LGwCrz01N6qyz2kwj59w5WtW8rHvr4w==" saltValue="bsQaFSvWN2qvkmE/wBuP3A==" spinCount="100000" sheet="1" objects="1" scenarios="1"/>
  <mergeCells count="3">
    <mergeCell ref="G5:G6"/>
    <mergeCell ref="H5:H6"/>
    <mergeCell ref="I5:P5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</sheetPr>
  <dimension ref="B1:O23"/>
  <sheetViews>
    <sheetView showGridLines="0" tabSelected="1" zoomScale="90" zoomScaleNormal="90" workbookViewId="0">
      <selection activeCell="B1" sqref="B1"/>
    </sheetView>
  </sheetViews>
  <sheetFormatPr baseColWidth="10" defaultRowHeight="15" x14ac:dyDescent="0.25"/>
  <cols>
    <col min="1" max="1" width="2.28515625" style="3" customWidth="1"/>
    <col min="2" max="2" width="11.42578125" style="3" customWidth="1"/>
    <col min="3" max="3" width="16.85546875" style="3" customWidth="1"/>
    <col min="4" max="4" width="11.42578125" style="3" customWidth="1"/>
    <col min="5" max="5" width="3" style="3" customWidth="1"/>
    <col min="6" max="16384" width="11.42578125" style="3"/>
  </cols>
  <sheetData>
    <row r="1" spans="2:15" ht="23.25" x14ac:dyDescent="0.25">
      <c r="B1" s="77" t="s">
        <v>49</v>
      </c>
      <c r="D1" s="46"/>
      <c r="E1" s="46"/>
    </row>
    <row r="2" spans="2:15" x14ac:dyDescent="0.25">
      <c r="B2" s="91" t="s">
        <v>28</v>
      </c>
      <c r="C2" s="91"/>
      <c r="D2" s="91"/>
      <c r="E2" s="72"/>
    </row>
    <row r="3" spans="2:15" x14ac:dyDescent="0.25">
      <c r="B3" s="91"/>
      <c r="C3" s="91"/>
      <c r="D3" s="91"/>
      <c r="E3" s="72"/>
    </row>
    <row r="4" spans="2:15" ht="18.75" x14ac:dyDescent="0.3">
      <c r="D4" s="63"/>
      <c r="E4" s="63"/>
      <c r="F4" s="60" t="s">
        <v>51</v>
      </c>
    </row>
    <row r="5" spans="2:15" ht="18.75" customHeight="1" x14ac:dyDescent="0.25">
      <c r="F5" s="89" t="s">
        <v>21</v>
      </c>
      <c r="G5" s="95" t="s">
        <v>26</v>
      </c>
      <c r="H5" s="96"/>
      <c r="I5" s="96"/>
      <c r="J5" s="96"/>
      <c r="K5" s="96"/>
      <c r="L5" s="96"/>
      <c r="M5" s="96"/>
      <c r="N5" s="97"/>
    </row>
    <row r="6" spans="2:15" x14ac:dyDescent="0.25">
      <c r="B6" s="98" t="s">
        <v>10</v>
      </c>
      <c r="C6" s="98" t="s">
        <v>27</v>
      </c>
      <c r="F6" s="89"/>
      <c r="G6" s="64" t="s">
        <v>13</v>
      </c>
      <c r="H6" s="64" t="s">
        <v>14</v>
      </c>
      <c r="I6" s="64" t="s">
        <v>15</v>
      </c>
      <c r="J6" s="64" t="s">
        <v>16</v>
      </c>
      <c r="K6" s="64" t="s">
        <v>17</v>
      </c>
      <c r="L6" s="64" t="s">
        <v>18</v>
      </c>
      <c r="M6" s="64" t="s">
        <v>22</v>
      </c>
      <c r="N6" s="64" t="s">
        <v>43</v>
      </c>
    </row>
    <row r="7" spans="2:15" x14ac:dyDescent="0.25">
      <c r="B7" s="99"/>
      <c r="C7" s="99"/>
      <c r="F7" s="37">
        <v>2019</v>
      </c>
      <c r="G7" s="41">
        <f>$C$8*'Res. valorizables TAD'!I7</f>
        <v>1044.8879999999999</v>
      </c>
      <c r="H7" s="41">
        <f>$C$9*'Res. valorizables TAD'!J7</f>
        <v>87.074000000000012</v>
      </c>
      <c r="I7" s="41">
        <f>$C$10*'Res. valorizables TAD'!K7</f>
        <v>121.90360000000001</v>
      </c>
      <c r="J7" s="41">
        <f>$C$11*'Res. valorizables TAD'!L7</f>
        <v>104.4888</v>
      </c>
      <c r="K7" s="41">
        <f>$C$12*'Res. valorizables TAD'!M7</f>
        <v>979.58249999999998</v>
      </c>
      <c r="L7" s="41">
        <f>$C$12*'Res. valorizables TAD'!N7</f>
        <v>326.52749999999997</v>
      </c>
      <c r="M7" s="41">
        <f>$C$14*'Res. valorizables TAD'!O7</f>
        <v>6312.8649999999998</v>
      </c>
      <c r="N7" s="41">
        <f>$C$15*'Res. valorizables TAD'!P7</f>
        <v>117.54989999999999</v>
      </c>
      <c r="O7" s="18"/>
    </row>
    <row r="8" spans="2:15" x14ac:dyDescent="0.25">
      <c r="B8" s="35" t="s">
        <v>13</v>
      </c>
      <c r="C8" s="47">
        <v>0.2</v>
      </c>
      <c r="F8" s="38">
        <v>2020</v>
      </c>
      <c r="G8" s="66">
        <f>$C$8*'Res. valorizables TAD'!I8</f>
        <v>1113.8092164640836</v>
      </c>
      <c r="H8" s="41">
        <f>$C$9*'Res. valorizables TAD'!J8</f>
        <v>92.817434705340318</v>
      </c>
      <c r="I8" s="41">
        <f>$C$10*'Res. valorizables TAD'!K8</f>
        <v>129.94440858747646</v>
      </c>
      <c r="J8" s="41">
        <f>$C$11*'Res. valorizables TAD'!L8</f>
        <v>111.38092164640837</v>
      </c>
      <c r="K8" s="41">
        <f>$C$12*'Res. valorizables TAD'!M8</f>
        <v>1044.1961404350784</v>
      </c>
      <c r="L8" s="41">
        <f>$C$12*'Res. valorizables TAD'!N8</f>
        <v>348.06538014502621</v>
      </c>
      <c r="M8" s="41">
        <f>$C$14*'Res. valorizables TAD'!O8</f>
        <v>6729.2640161371728</v>
      </c>
      <c r="N8" s="41">
        <f>$C$15*'Res. valorizables TAD'!P8</f>
        <v>125.30353685220943</v>
      </c>
    </row>
    <row r="9" spans="2:15" x14ac:dyDescent="0.25">
      <c r="B9" s="35" t="s">
        <v>14</v>
      </c>
      <c r="C9" s="47">
        <v>0.1</v>
      </c>
      <c r="F9" s="38">
        <v>2021</v>
      </c>
      <c r="G9" s="41">
        <f>$C$8*'Res. valorizables TAD'!I9</f>
        <v>1169.4960787990619</v>
      </c>
      <c r="H9" s="41">
        <f>$C$9*'Res. valorizables TAD'!J9</f>
        <v>97.458006566588494</v>
      </c>
      <c r="I9" s="41">
        <f>$C$10*'Res. valorizables TAD'!K9</f>
        <v>136.4412091932239</v>
      </c>
      <c r="J9" s="41">
        <f>$C$11*'Res. valorizables TAD'!L9</f>
        <v>116.94960787990618</v>
      </c>
      <c r="K9" s="41">
        <f>$C$12*'Res. valorizables TAD'!M9</f>
        <v>1096.4025738741204</v>
      </c>
      <c r="L9" s="41">
        <f>$C$12*'Res. valorizables TAD'!N9</f>
        <v>365.46752462470687</v>
      </c>
      <c r="M9" s="41">
        <f>$C$14*'Res. valorizables TAD'!O9</f>
        <v>7065.7054760776655</v>
      </c>
      <c r="N9" s="41">
        <f>$C$15*'Res. valorizables TAD'!P9</f>
        <v>131.56830886489445</v>
      </c>
    </row>
    <row r="10" spans="2:15" x14ac:dyDescent="0.25">
      <c r="B10" s="35" t="s">
        <v>15</v>
      </c>
      <c r="C10" s="47">
        <v>7.0000000000000007E-2</v>
      </c>
      <c r="F10" s="38">
        <v>2022</v>
      </c>
      <c r="G10" s="41">
        <f>$C$8*'Res. valorizables TAD'!I10</f>
        <v>1218.7646193754047</v>
      </c>
      <c r="H10" s="41">
        <f>$C$9*'Res. valorizables TAD'!J10</f>
        <v>101.56371828128374</v>
      </c>
      <c r="I10" s="41">
        <f>$C$10*'Res. valorizables TAD'!K10</f>
        <v>142.18920559379723</v>
      </c>
      <c r="J10" s="41">
        <f>$C$11*'Res. valorizables TAD'!L10</f>
        <v>121.87646193754047</v>
      </c>
      <c r="K10" s="41">
        <f>$C$12*'Res. valorizables TAD'!M10</f>
        <v>1142.5918306644419</v>
      </c>
      <c r="L10" s="41">
        <f>$C$12*'Res. valorizables TAD'!N10</f>
        <v>380.86394355481394</v>
      </c>
      <c r="M10" s="41">
        <f>$C$14*'Res. valorizables TAD'!O10</f>
        <v>7363.3695753930697</v>
      </c>
      <c r="N10" s="41">
        <f>$C$15*'Res. valorizables TAD'!P10</f>
        <v>137.11101967973303</v>
      </c>
    </row>
    <row r="11" spans="2:15" x14ac:dyDescent="0.25">
      <c r="B11" s="35" t="s">
        <v>16</v>
      </c>
      <c r="C11" s="47">
        <v>0.08</v>
      </c>
      <c r="F11" s="38">
        <v>2023</v>
      </c>
      <c r="G11" s="41">
        <f>$C$8*'Res. valorizables TAD'!I11</f>
        <v>1267.990730388047</v>
      </c>
      <c r="H11" s="41">
        <f>$C$9*'Res. valorizables TAD'!J11</f>
        <v>105.66589419900393</v>
      </c>
      <c r="I11" s="41">
        <f>$C$10*'Res. valorizables TAD'!K11</f>
        <v>147.93225187860551</v>
      </c>
      <c r="J11" s="41">
        <f>$C$11*'Res. valorizables TAD'!L11</f>
        <v>126.79907303880469</v>
      </c>
      <c r="K11" s="41">
        <f>$C$12*'Res. valorizables TAD'!M11</f>
        <v>1188.7413097387939</v>
      </c>
      <c r="L11" s="41">
        <f>$C$12*'Res. valorizables TAD'!N11</f>
        <v>396.24710324626471</v>
      </c>
      <c r="M11" s="41">
        <f>$C$14*'Res. valorizables TAD'!O11</f>
        <v>7660.7773294277831</v>
      </c>
      <c r="N11" s="41">
        <f>$C$15*'Res. valorizables TAD'!P11</f>
        <v>142.64895716865527</v>
      </c>
    </row>
    <row r="12" spans="2:15" x14ac:dyDescent="0.25">
      <c r="B12" s="35" t="s">
        <v>17</v>
      </c>
      <c r="C12" s="47">
        <v>0.15</v>
      </c>
      <c r="F12" s="38">
        <v>2024</v>
      </c>
      <c r="G12" s="41">
        <f>$C$8*'Res. valorizables TAD'!I12</f>
        <v>1318.5296906744193</v>
      </c>
      <c r="H12" s="41">
        <f>$C$9*'Res. valorizables TAD'!J12</f>
        <v>109.87747422286827</v>
      </c>
      <c r="I12" s="41">
        <f>$C$10*'Res. valorizables TAD'!K12</f>
        <v>153.82846391201559</v>
      </c>
      <c r="J12" s="41">
        <f>$C$11*'Res. valorizables TAD'!L12</f>
        <v>131.85296906744193</v>
      </c>
      <c r="K12" s="41">
        <f>$C$12*'Res. valorizables TAD'!M12</f>
        <v>1236.1215850072679</v>
      </c>
      <c r="L12" s="41">
        <f>$C$12*'Res. valorizables TAD'!N12</f>
        <v>412.04052833575605</v>
      </c>
      <c r="M12" s="41">
        <f>$C$14*'Res. valorizables TAD'!O12</f>
        <v>7966.1168811579491</v>
      </c>
      <c r="N12" s="41">
        <f>$C$15*'Res. valorizables TAD'!P12</f>
        <v>148.33459020087216</v>
      </c>
    </row>
    <row r="13" spans="2:15" x14ac:dyDescent="0.25">
      <c r="B13" s="35" t="s">
        <v>18</v>
      </c>
      <c r="C13" s="47">
        <v>0.08</v>
      </c>
      <c r="F13" s="38">
        <v>2025</v>
      </c>
      <c r="G13" s="66">
        <f>$C$8*'Res. valorizables TAD'!I13</f>
        <v>1370.7676076626972</v>
      </c>
      <c r="H13" s="41">
        <f>$C$9*'Res. valorizables TAD'!J13</f>
        <v>114.23063397189142</v>
      </c>
      <c r="I13" s="41">
        <f>$C$10*'Res. valorizables TAD'!K13</f>
        <v>159.92288756064801</v>
      </c>
      <c r="J13" s="41">
        <f>$C$11*'Res. valorizables TAD'!L13</f>
        <v>137.0767607662697</v>
      </c>
      <c r="K13" s="41">
        <f>$C$12*'Res. valorizables TAD'!M13</f>
        <v>1285.0946321837785</v>
      </c>
      <c r="L13" s="41">
        <f>$C$12*'Res. valorizables TAD'!N13</f>
        <v>428.3648773945929</v>
      </c>
      <c r="M13" s="41">
        <f>$C$14*'Res. valorizables TAD'!O13</f>
        <v>8281.7209629621284</v>
      </c>
      <c r="N13" s="41">
        <f>$C$15*'Res. valorizables TAD'!P13</f>
        <v>154.21135586205341</v>
      </c>
    </row>
    <row r="14" spans="2:15" x14ac:dyDescent="0.25">
      <c r="B14" s="35" t="s">
        <v>19</v>
      </c>
      <c r="C14" s="47">
        <v>0.28999999999999998</v>
      </c>
      <c r="F14" s="38">
        <v>2026</v>
      </c>
      <c r="G14" s="41">
        <f>$C$8*'Res. valorizables TAD'!I14</f>
        <v>1424.8021751035421</v>
      </c>
      <c r="H14" s="41">
        <f>$C$9*'Res. valorizables TAD'!J14</f>
        <v>118.73351459196186</v>
      </c>
      <c r="I14" s="41">
        <f>$C$10*'Res. valorizables TAD'!K14</f>
        <v>166.22692042874661</v>
      </c>
      <c r="J14" s="41">
        <f>$C$11*'Res. valorizables TAD'!L14</f>
        <v>142.48021751035421</v>
      </c>
      <c r="K14" s="41">
        <f>$C$12*'Res. valorizables TAD'!M14</f>
        <v>1335.7520391595706</v>
      </c>
      <c r="L14" s="41">
        <f>$C$12*'Res. valorizables TAD'!N14</f>
        <v>445.25067971985698</v>
      </c>
      <c r="M14" s="41">
        <f>$C$14*'Res. valorizables TAD'!O14</f>
        <v>8608.1798079172331</v>
      </c>
      <c r="N14" s="41">
        <f>$C$15*'Res. valorizables TAD'!P14</f>
        <v>160.2902446991485</v>
      </c>
    </row>
    <row r="15" spans="2:15" x14ac:dyDescent="0.25">
      <c r="B15" s="35" t="s">
        <v>43</v>
      </c>
      <c r="C15" s="47">
        <v>0.03</v>
      </c>
      <c r="F15" s="38">
        <v>2027</v>
      </c>
      <c r="G15" s="41">
        <f>$C$8*'Res. valorizables TAD'!I15</f>
        <v>1480.6970339830114</v>
      </c>
      <c r="H15" s="41">
        <f>$C$9*'Res. valorizables TAD'!J15</f>
        <v>123.39141949858427</v>
      </c>
      <c r="I15" s="41">
        <f>$C$10*'Res. valorizables TAD'!K15</f>
        <v>172.74798729801799</v>
      </c>
      <c r="J15" s="41">
        <f>$C$11*'Res. valorizables TAD'!L15</f>
        <v>148.06970339830113</v>
      </c>
      <c r="K15" s="41">
        <f>$C$12*'Res. valorizables TAD'!M15</f>
        <v>1388.1534693590729</v>
      </c>
      <c r="L15" s="41">
        <f>$C$12*'Res. valorizables TAD'!N15</f>
        <v>462.71782311969099</v>
      </c>
      <c r="M15" s="41">
        <f>$C$14*'Res. valorizables TAD'!O15</f>
        <v>8945.8779136473586</v>
      </c>
      <c r="N15" s="41">
        <f>$C$15*'Res. valorizables TAD'!P15</f>
        <v>166.57841632308873</v>
      </c>
    </row>
    <row r="16" spans="2:15" x14ac:dyDescent="0.25">
      <c r="B16" s="65" t="s">
        <v>44</v>
      </c>
      <c r="C16" s="78"/>
      <c r="F16" s="38">
        <v>2028</v>
      </c>
      <c r="G16" s="41">
        <f>$C$8*'Res. valorizables TAD'!I16</f>
        <v>1538.4685840123013</v>
      </c>
      <c r="H16" s="41">
        <f>$C$9*'Res. valorizables TAD'!J16</f>
        <v>128.20571533435847</v>
      </c>
      <c r="I16" s="41">
        <f>$C$10*'Res. valorizables TAD'!K16</f>
        <v>179.48800146810186</v>
      </c>
      <c r="J16" s="41">
        <f>$C$11*'Res. valorizables TAD'!L16</f>
        <v>153.84685840123012</v>
      </c>
      <c r="K16" s="41">
        <f>$C$12*'Res. valorizables TAD'!M16</f>
        <v>1442.3142975115325</v>
      </c>
      <c r="L16" s="41">
        <f>$C$12*'Res. valorizables TAD'!N16</f>
        <v>480.77143250384421</v>
      </c>
      <c r="M16" s="41">
        <f>$C$14*'Res. valorizables TAD'!O16</f>
        <v>9294.9143617409864</v>
      </c>
      <c r="N16" s="41">
        <f>$C$15*'Res. valorizables TAD'!P16</f>
        <v>173.07771570138388</v>
      </c>
    </row>
    <row r="17" spans="2:15" x14ac:dyDescent="0.25">
      <c r="C17" s="52"/>
      <c r="F17" s="38">
        <v>2029</v>
      </c>
      <c r="G17" s="41">
        <f>$C$8*'Res. valorizables TAD'!I17</f>
        <v>1598.2023263527135</v>
      </c>
      <c r="H17" s="41">
        <f>$C$9*'Res. valorizables TAD'!J17</f>
        <v>133.18352719605949</v>
      </c>
      <c r="I17" s="41">
        <f>$C$10*'Res. valorizables TAD'!K17</f>
        <v>186.4569380744833</v>
      </c>
      <c r="J17" s="41">
        <f>$C$11*'Res. valorizables TAD'!L17</f>
        <v>159.82023263527137</v>
      </c>
      <c r="K17" s="41">
        <f>$C$12*'Res. valorizables TAD'!M17</f>
        <v>1498.314680955669</v>
      </c>
      <c r="L17" s="41">
        <f>$C$12*'Res. valorizables TAD'!N17</f>
        <v>499.43822698522303</v>
      </c>
      <c r="M17" s="41">
        <f>$C$14*'Res. valorizables TAD'!O17</f>
        <v>9655.8057217143105</v>
      </c>
      <c r="N17" s="41">
        <f>$C$15*'Res. valorizables TAD'!P17</f>
        <v>179.79776171468026</v>
      </c>
    </row>
    <row r="18" spans="2:15" x14ac:dyDescent="0.25">
      <c r="F18" s="45" t="s">
        <v>44</v>
      </c>
    </row>
    <row r="19" spans="2:15" ht="11.25" customHeight="1" x14ac:dyDescent="0.25"/>
    <row r="20" spans="2:15" x14ac:dyDescent="0.25">
      <c r="B20" s="92" t="s">
        <v>55</v>
      </c>
      <c r="C20" s="92"/>
      <c r="D20" s="92"/>
      <c r="E20" s="92"/>
      <c r="F20" s="92"/>
      <c r="G20" s="92"/>
      <c r="H20" s="93"/>
      <c r="I20" s="93"/>
    </row>
    <row r="21" spans="2:15" x14ac:dyDescent="0.25">
      <c r="B21" s="92"/>
      <c r="C21" s="92"/>
      <c r="D21" s="92"/>
      <c r="E21" s="92"/>
      <c r="F21" s="92"/>
      <c r="G21" s="92"/>
      <c r="H21" s="93"/>
      <c r="I21" s="93"/>
      <c r="M21" s="94"/>
      <c r="N21" s="94"/>
      <c r="O21" s="94"/>
    </row>
    <row r="22" spans="2:15" x14ac:dyDescent="0.25">
      <c r="B22" s="92"/>
      <c r="C22" s="92"/>
      <c r="D22" s="92"/>
      <c r="E22" s="92"/>
      <c r="F22" s="92"/>
      <c r="G22" s="92"/>
      <c r="H22" s="93"/>
      <c r="I22" s="93"/>
      <c r="M22" s="94"/>
      <c r="N22" s="94"/>
      <c r="O22" s="94"/>
    </row>
    <row r="23" spans="2:15" x14ac:dyDescent="0.25">
      <c r="B23" s="92"/>
      <c r="C23" s="92"/>
      <c r="D23" s="92"/>
      <c r="E23" s="92"/>
      <c r="F23" s="92"/>
      <c r="G23" s="92"/>
      <c r="H23" s="93"/>
      <c r="I23" s="93"/>
      <c r="M23" s="94"/>
      <c r="N23" s="94"/>
      <c r="O23" s="94"/>
    </row>
  </sheetData>
  <mergeCells count="7">
    <mergeCell ref="B2:D3"/>
    <mergeCell ref="B20:I23"/>
    <mergeCell ref="M21:O23"/>
    <mergeCell ref="F5:F6"/>
    <mergeCell ref="G5:N5"/>
    <mergeCell ref="B6:B7"/>
    <mergeCell ref="C6:C7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L18"/>
  <sheetViews>
    <sheetView showGridLines="0" zoomScale="90" zoomScaleNormal="90" workbookViewId="0">
      <selection activeCell="I8" sqref="I8"/>
    </sheetView>
  </sheetViews>
  <sheetFormatPr baseColWidth="10" defaultRowHeight="15" x14ac:dyDescent="0.25"/>
  <cols>
    <col min="1" max="1" width="3.140625" style="3" customWidth="1"/>
    <col min="2" max="16384" width="11.42578125" style="3"/>
  </cols>
  <sheetData>
    <row r="1" spans="2:12" ht="26.25" x14ac:dyDescent="0.25">
      <c r="B1" s="77" t="s">
        <v>56</v>
      </c>
    </row>
    <row r="2" spans="2:12" x14ac:dyDescent="0.25">
      <c r="B2" s="100" t="s">
        <v>50</v>
      </c>
      <c r="C2" s="101"/>
      <c r="D2" s="101"/>
      <c r="E2" s="101"/>
      <c r="F2" s="101"/>
      <c r="G2" s="101"/>
      <c r="H2" s="101"/>
      <c r="I2" s="101"/>
      <c r="J2" s="101"/>
    </row>
    <row r="3" spans="2:12" x14ac:dyDescent="0.25">
      <c r="B3" s="101"/>
      <c r="C3" s="101"/>
      <c r="D3" s="101"/>
      <c r="E3" s="101"/>
      <c r="F3" s="101"/>
      <c r="G3" s="101"/>
      <c r="H3" s="101"/>
      <c r="I3" s="101"/>
      <c r="J3" s="101"/>
    </row>
    <row r="5" spans="2:12" x14ac:dyDescent="0.25">
      <c r="B5" s="89" t="s">
        <v>21</v>
      </c>
      <c r="C5" s="90" t="s">
        <v>29</v>
      </c>
      <c r="D5" s="90"/>
      <c r="E5" s="90"/>
      <c r="F5" s="90"/>
      <c r="G5" s="90"/>
      <c r="H5" s="90"/>
      <c r="I5" s="90"/>
      <c r="J5" s="90"/>
    </row>
    <row r="6" spans="2:12" x14ac:dyDescent="0.25">
      <c r="B6" s="89"/>
      <c r="C6" s="64" t="s">
        <v>13</v>
      </c>
      <c r="D6" s="64" t="s">
        <v>14</v>
      </c>
      <c r="E6" s="64" t="s">
        <v>15</v>
      </c>
      <c r="F6" s="64" t="s">
        <v>16</v>
      </c>
      <c r="G6" s="64" t="s">
        <v>17</v>
      </c>
      <c r="H6" s="64" t="s">
        <v>18</v>
      </c>
      <c r="I6" s="64" t="s">
        <v>22</v>
      </c>
      <c r="J6" s="64" t="s">
        <v>43</v>
      </c>
    </row>
    <row r="7" spans="2:12" x14ac:dyDescent="0.25">
      <c r="B7" s="37">
        <v>2019</v>
      </c>
      <c r="C7" s="41">
        <f>'Res. valorizables TAD'!I7-'Oferta Calculo TAT'!G7</f>
        <v>4179.5519999999997</v>
      </c>
      <c r="D7" s="41">
        <f>'Res. valorizables TAD'!J7-'Oferta Calculo TAT'!H7</f>
        <v>783.66599999999994</v>
      </c>
      <c r="E7" s="41">
        <f>'Res. valorizables TAD'!K7-'Oferta Calculo TAT'!I7</f>
        <v>1619.5763999999999</v>
      </c>
      <c r="F7" s="41">
        <f>'Res. valorizables TAD'!L7-'Oferta Calculo TAT'!J7</f>
        <v>1201.6211999999998</v>
      </c>
      <c r="G7" s="41">
        <f>'Res. valorizables TAD'!M7-'Oferta Calculo TAT'!K7</f>
        <v>5550.9675000000007</v>
      </c>
      <c r="H7" s="41">
        <f>'Res. valorizables TAD'!N7-'Oferta Calculo TAT'!L7</f>
        <v>1850.3225</v>
      </c>
      <c r="I7" s="41">
        <f>'Res. valorizables TAD'!O7-'Oferta Calculo TAT'!M7</f>
        <v>15455.635</v>
      </c>
      <c r="J7" s="41">
        <f>'Res. valorizables TAD'!P7-'Oferta Calculo TAT'!N7</f>
        <v>3800.7800999999999</v>
      </c>
      <c r="K7" s="18"/>
      <c r="L7" s="18"/>
    </row>
    <row r="8" spans="2:12" x14ac:dyDescent="0.25">
      <c r="B8" s="38">
        <v>2020</v>
      </c>
      <c r="C8" s="41">
        <f>'Res. valorizables TAD'!I8-'Oferta Calculo TAT'!G8</f>
        <v>4455.2368658563346</v>
      </c>
      <c r="D8" s="41">
        <f>'Res. valorizables TAD'!J8-'Oferta Calculo TAT'!H8</f>
        <v>835.35691234806279</v>
      </c>
      <c r="E8" s="41">
        <f>'Res. valorizables TAD'!K8-'Oferta Calculo TAT'!I8</f>
        <v>1726.4042855193297</v>
      </c>
      <c r="F8" s="41">
        <f>'Res. valorizables TAD'!L8-'Oferta Calculo TAT'!J8</f>
        <v>1280.8805989336963</v>
      </c>
      <c r="G8" s="41">
        <f>'Res. valorizables TAD'!M8-'Oferta Calculo TAT'!K8</f>
        <v>5917.1114624654447</v>
      </c>
      <c r="H8" s="41">
        <f>'Res. valorizables TAD'!N8-'Oferta Calculo TAT'!L8</f>
        <v>1972.370487488482</v>
      </c>
      <c r="I8" s="41">
        <f>'Res. valorizables TAD'!O8-'Oferta Calculo TAT'!M8</f>
        <v>16475.094660197909</v>
      </c>
      <c r="J8" s="41">
        <f>'Res. valorizables TAD'!P8-'Oferta Calculo TAT'!N8</f>
        <v>4051.4810248881049</v>
      </c>
    </row>
    <row r="9" spans="2:12" x14ac:dyDescent="0.25">
      <c r="B9" s="38">
        <v>2021</v>
      </c>
      <c r="C9" s="41">
        <f>'Res. valorizables TAD'!I9-'Oferta Calculo TAT'!G9</f>
        <v>4677.9843151962468</v>
      </c>
      <c r="D9" s="41">
        <f>'Res. valorizables TAD'!J9-'Oferta Calculo TAT'!H9</f>
        <v>877.12205909929639</v>
      </c>
      <c r="E9" s="41">
        <f>'Res. valorizables TAD'!K9-'Oferta Calculo TAT'!I9</f>
        <v>1812.7189221385461</v>
      </c>
      <c r="F9" s="41">
        <f>'Res. valorizables TAD'!L9-'Oferta Calculo TAT'!J9</f>
        <v>1344.9204906189211</v>
      </c>
      <c r="G9" s="41">
        <f>'Res. valorizables TAD'!M9-'Oferta Calculo TAT'!K9</f>
        <v>6212.947918620016</v>
      </c>
      <c r="H9" s="41">
        <f>'Res. valorizables TAD'!N9-'Oferta Calculo TAT'!L9</f>
        <v>2070.9826395400055</v>
      </c>
      <c r="I9" s="41">
        <f>'Res. valorizables TAD'!O9-'Oferta Calculo TAT'!M9</f>
        <v>17298.796165569456</v>
      </c>
      <c r="J9" s="41">
        <f>'Res. valorizables TAD'!P9-'Oferta Calculo TAT'!N9</f>
        <v>4254.041986631587</v>
      </c>
      <c r="L9" s="18"/>
    </row>
    <row r="10" spans="2:12" x14ac:dyDescent="0.25">
      <c r="B10" s="38">
        <v>2022</v>
      </c>
      <c r="C10" s="41">
        <f>'Res. valorizables TAD'!I10-'Oferta Calculo TAT'!G10</f>
        <v>4875.0584775016187</v>
      </c>
      <c r="D10" s="41">
        <f>'Res. valorizables TAD'!J10-'Oferta Calculo TAT'!H10</f>
        <v>914.07346453155355</v>
      </c>
      <c r="E10" s="41">
        <f>'Res. valorizables TAD'!K10-'Oferta Calculo TAT'!I10</f>
        <v>1889.0851600318774</v>
      </c>
      <c r="F10" s="41">
        <f>'Res. valorizables TAD'!L10-'Oferta Calculo TAT'!J10</f>
        <v>1401.5793122817154</v>
      </c>
      <c r="G10" s="41">
        <f>'Res. valorizables TAD'!M10-'Oferta Calculo TAT'!K10</f>
        <v>6474.6870404318379</v>
      </c>
      <c r="H10" s="41">
        <f>'Res. valorizables TAD'!N10-'Oferta Calculo TAT'!L10</f>
        <v>2158.2290134772793</v>
      </c>
      <c r="I10" s="41">
        <f>'Res. valorizables TAD'!O10-'Oferta Calculo TAT'!M10</f>
        <v>18027.559994927862</v>
      </c>
      <c r="J10" s="41">
        <f>'Res. valorizables TAD'!P10-'Oferta Calculo TAT'!N10</f>
        <v>4433.2563029780349</v>
      </c>
    </row>
    <row r="11" spans="2:12" x14ac:dyDescent="0.25">
      <c r="B11" s="38">
        <v>2023</v>
      </c>
      <c r="C11" s="41">
        <f>'Res. valorizables TAD'!I11-'Oferta Calculo TAT'!G11</f>
        <v>5071.9629215521873</v>
      </c>
      <c r="D11" s="41">
        <f>'Res. valorizables TAD'!J11-'Oferta Calculo TAT'!H11</f>
        <v>950.99304779103534</v>
      </c>
      <c r="E11" s="41">
        <f>'Res. valorizables TAD'!K11-'Oferta Calculo TAT'!I11</f>
        <v>1965.385632101473</v>
      </c>
      <c r="F11" s="41">
        <f>'Res. valorizables TAD'!L11-'Oferta Calculo TAT'!J11</f>
        <v>1458.189339946254</v>
      </c>
      <c r="G11" s="41">
        <f>'Res. valorizables TAD'!M11-'Oferta Calculo TAT'!K11</f>
        <v>6736.200755186499</v>
      </c>
      <c r="H11" s="41">
        <f>'Res. valorizables TAD'!N11-'Oferta Calculo TAT'!L11</f>
        <v>2245.4002517288336</v>
      </c>
      <c r="I11" s="41">
        <f>'Res. valorizables TAD'!O11-'Oferta Calculo TAT'!M11</f>
        <v>18755.696220323196</v>
      </c>
      <c r="J11" s="41">
        <f>'Res. valorizables TAD'!P11-'Oferta Calculo TAT'!N11</f>
        <v>4612.3162817865204</v>
      </c>
    </row>
    <row r="12" spans="2:12" x14ac:dyDescent="0.25">
      <c r="B12" s="38">
        <v>2024</v>
      </c>
      <c r="C12" s="41">
        <f>'Res. valorizables TAD'!I12-'Oferta Calculo TAT'!G12</f>
        <v>5274.1187626976771</v>
      </c>
      <c r="D12" s="41">
        <f>'Res. valorizables TAD'!J12-'Oferta Calculo TAT'!H12</f>
        <v>988.89726800581445</v>
      </c>
      <c r="E12" s="41">
        <f>'Res. valorizables TAD'!K12-'Oferta Calculo TAT'!I12</f>
        <v>2043.7210205453498</v>
      </c>
      <c r="F12" s="41">
        <f>'Res. valorizables TAD'!L12-'Oferta Calculo TAT'!J12</f>
        <v>1516.309144275582</v>
      </c>
      <c r="G12" s="41">
        <f>'Res. valorizables TAD'!M12-'Oferta Calculo TAT'!K12</f>
        <v>7004.6889817078518</v>
      </c>
      <c r="H12" s="41">
        <f>'Res. valorizables TAD'!N12-'Oferta Calculo TAT'!L12</f>
        <v>2334.896327235951</v>
      </c>
      <c r="I12" s="41">
        <f>'Res. valorizables TAD'!O12-'Oferta Calculo TAT'!M12</f>
        <v>19503.25167455912</v>
      </c>
      <c r="J12" s="41">
        <f>'Res. valorizables TAD'!P12-'Oferta Calculo TAT'!N12</f>
        <v>4796.1517498282001</v>
      </c>
    </row>
    <row r="13" spans="2:12" x14ac:dyDescent="0.25">
      <c r="B13" s="38">
        <v>2025</v>
      </c>
      <c r="C13" s="41">
        <f>'Res. valorizables TAD'!I13-'Oferta Calculo TAT'!G13</f>
        <v>5483.0704306507887</v>
      </c>
      <c r="D13" s="41">
        <f>'Res. valorizables TAD'!J13-'Oferta Calculo TAT'!H13</f>
        <v>1028.0757057470228</v>
      </c>
      <c r="E13" s="41">
        <f>'Res. valorizables TAD'!K13-'Oferta Calculo TAT'!I13</f>
        <v>2124.6897918771801</v>
      </c>
      <c r="F13" s="41">
        <f>'Res. valorizables TAD'!L13-'Oferta Calculo TAT'!J13</f>
        <v>1576.3827488121017</v>
      </c>
      <c r="G13" s="41">
        <f>'Res. valorizables TAD'!M13-'Oferta Calculo TAT'!K13</f>
        <v>7282.2029157080779</v>
      </c>
      <c r="H13" s="41">
        <f>'Res. valorizables TAD'!N13-'Oferta Calculo TAT'!L13</f>
        <v>2427.4009719026931</v>
      </c>
      <c r="I13" s="41">
        <f>'Res. valorizables TAD'!O13-'Oferta Calculo TAT'!M13</f>
        <v>20275.937530010728</v>
      </c>
      <c r="J13" s="41">
        <f>'Res. valorizables TAD'!P13-'Oferta Calculo TAT'!N13</f>
        <v>4986.1671728730607</v>
      </c>
    </row>
    <row r="14" spans="2:12" x14ac:dyDescent="0.25">
      <c r="B14" s="38">
        <v>2026</v>
      </c>
      <c r="C14" s="41">
        <f>'Res. valorizables TAD'!I14-'Oferta Calculo TAT'!G14</f>
        <v>5699.2087004141686</v>
      </c>
      <c r="D14" s="41">
        <f>'Res. valorizables TAD'!J14-'Oferta Calculo TAT'!H14</f>
        <v>1068.6016313276566</v>
      </c>
      <c r="E14" s="41">
        <f>'Res. valorizables TAD'!K14-'Oferta Calculo TAT'!I14</f>
        <v>2208.4433714104903</v>
      </c>
      <c r="F14" s="41">
        <f>'Res. valorizables TAD'!L14-'Oferta Calculo TAT'!J14</f>
        <v>1638.5225013690736</v>
      </c>
      <c r="G14" s="41">
        <f>'Res. valorizables TAD'!M14-'Oferta Calculo TAT'!K14</f>
        <v>7569.2615552375673</v>
      </c>
      <c r="H14" s="41">
        <f>'Res. valorizables TAD'!N14-'Oferta Calculo TAT'!L14</f>
        <v>2523.0871850791896</v>
      </c>
      <c r="I14" s="41">
        <f>'Res. valorizables TAD'!O14-'Oferta Calculo TAT'!M14</f>
        <v>21075.19884007323</v>
      </c>
      <c r="J14" s="41">
        <f>'Res. valorizables TAD'!P14-'Oferta Calculo TAT'!N14</f>
        <v>5182.7179119391349</v>
      </c>
    </row>
    <row r="15" spans="2:12" x14ac:dyDescent="0.25">
      <c r="B15" s="38">
        <v>2027</v>
      </c>
      <c r="C15" s="41">
        <f>'Res. valorizables TAD'!I15-'Oferta Calculo TAT'!G15</f>
        <v>5922.7881359320445</v>
      </c>
      <c r="D15" s="41">
        <f>'Res. valorizables TAD'!J15-'Oferta Calculo TAT'!H15</f>
        <v>1110.5227754872583</v>
      </c>
      <c r="E15" s="41">
        <f>'Res. valorizables TAD'!K15-'Oferta Calculo TAT'!I15</f>
        <v>2295.0804026736673</v>
      </c>
      <c r="F15" s="41">
        <f>'Res. valorizables TAD'!L15-'Oferta Calculo TAT'!J15</f>
        <v>1702.8015890804629</v>
      </c>
      <c r="G15" s="41">
        <f>'Res. valorizables TAD'!M15-'Oferta Calculo TAT'!K15</f>
        <v>7866.2029930347471</v>
      </c>
      <c r="H15" s="41">
        <f>'Res. valorizables TAD'!N15-'Oferta Calculo TAT'!L15</f>
        <v>2622.067664344916</v>
      </c>
      <c r="I15" s="41">
        <f>'Res. valorizables TAD'!O15-'Oferta Calculo TAT'!M15</f>
        <v>21901.976960998705</v>
      </c>
      <c r="J15" s="41">
        <f>'Res. valorizables TAD'!P15-'Oferta Calculo TAT'!N15</f>
        <v>5386.0354611132025</v>
      </c>
    </row>
    <row r="16" spans="2:12" x14ac:dyDescent="0.25">
      <c r="B16" s="38">
        <v>2028</v>
      </c>
      <c r="C16" s="41">
        <f>'Res. valorizables TAD'!I16-'Oferta Calculo TAT'!G16</f>
        <v>6153.8743360492053</v>
      </c>
      <c r="D16" s="41">
        <f>'Res. valorizables TAD'!J16-'Oferta Calculo TAT'!H16</f>
        <v>1153.8514380092261</v>
      </c>
      <c r="E16" s="41">
        <f>'Res. valorizables TAD'!K16-'Oferta Calculo TAT'!I16</f>
        <v>2384.626305219067</v>
      </c>
      <c r="F16" s="41">
        <f>'Res. valorizables TAD'!L16-'Oferta Calculo TAT'!J16</f>
        <v>1769.2388716141465</v>
      </c>
      <c r="G16" s="41">
        <f>'Res. valorizables TAD'!M16-'Oferta Calculo TAT'!K16</f>
        <v>8173.1143525653506</v>
      </c>
      <c r="H16" s="41">
        <f>'Res. valorizables TAD'!N16-'Oferta Calculo TAT'!L16</f>
        <v>2724.3714508551175</v>
      </c>
      <c r="I16" s="41">
        <f>'Res. valorizables TAD'!O16-'Oferta Calculo TAT'!M16</f>
        <v>22756.514471848626</v>
      </c>
      <c r="J16" s="41">
        <f>'Res. valorizables TAD'!P16-'Oferta Calculo TAT'!N16</f>
        <v>5596.1794743447463</v>
      </c>
    </row>
    <row r="17" spans="2:10" x14ac:dyDescent="0.25">
      <c r="B17" s="38">
        <v>2029</v>
      </c>
      <c r="C17" s="41">
        <f>'Res. valorizables TAD'!I17-'Oferta Calculo TAT'!G17</f>
        <v>6392.809305410854</v>
      </c>
      <c r="D17" s="41">
        <f>'Res. valorizables TAD'!J17-'Oferta Calculo TAT'!H17</f>
        <v>1198.6517447645354</v>
      </c>
      <c r="E17" s="41">
        <f>'Res. valorizables TAD'!K17-'Oferta Calculo TAT'!I17</f>
        <v>2477.2136058467063</v>
      </c>
      <c r="F17" s="41">
        <f>'Res. valorizables TAD'!L17-'Oferta Calculo TAT'!J17</f>
        <v>1837.9326753056205</v>
      </c>
      <c r="G17" s="41">
        <f>'Res. valorizables TAD'!M17-'Oferta Calculo TAT'!K17</f>
        <v>8490.4498587487906</v>
      </c>
      <c r="H17" s="41">
        <f>'Res. valorizables TAD'!N17-'Oferta Calculo TAT'!L17</f>
        <v>2830.1499529162638</v>
      </c>
      <c r="I17" s="41">
        <f>'Res. valorizables TAD'!O17-'Oferta Calculo TAT'!M17</f>
        <v>23640.076077300557</v>
      </c>
      <c r="J17" s="41">
        <f>'Res. valorizables TAD'!P17-'Oferta Calculo TAT'!N17</f>
        <v>5813.4609621079962</v>
      </c>
    </row>
    <row r="18" spans="2:10" x14ac:dyDescent="0.25">
      <c r="B18" s="45" t="s">
        <v>44</v>
      </c>
    </row>
  </sheetData>
  <sheetProtection algorithmName="SHA-512" hashValue="L7BQg1qVF5mjFk9mc2mn5MpIMj7GTAPErvyMESJQBBTjuj/twzSz8ZPdad00FJIi8iEBWzd72f04/sc2jCs74A==" saltValue="ipwvW2HU7hOZJehANJY91g==" spinCount="100000" sheet="1" objects="1" scenarios="1"/>
  <mergeCells count="3">
    <mergeCell ref="B5:B6"/>
    <mergeCell ref="C5:J5"/>
    <mergeCell ref="B2:J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4"/>
  <sheetViews>
    <sheetView showGridLines="0" zoomScale="90" zoomScaleNormal="90" workbookViewId="0">
      <selection activeCell="D2" sqref="D2"/>
    </sheetView>
  </sheetViews>
  <sheetFormatPr baseColWidth="10" defaultRowHeight="15" x14ac:dyDescent="0.25"/>
  <cols>
    <col min="1" max="1" width="6.42578125" style="3" customWidth="1"/>
    <col min="2" max="2" width="11.42578125" style="3" customWidth="1"/>
    <col min="3" max="8" width="11.42578125" style="3"/>
    <col min="9" max="9" width="15.85546875" style="3" bestFit="1" customWidth="1"/>
    <col min="10" max="16384" width="11.42578125" style="3"/>
  </cols>
  <sheetData>
    <row r="1" spans="2:13" ht="28.5" x14ac:dyDescent="0.25">
      <c r="B1" s="77" t="s">
        <v>57</v>
      </c>
    </row>
    <row r="2" spans="2:13" ht="26.25" x14ac:dyDescent="0.4">
      <c r="B2" s="49"/>
      <c r="C2" s="13"/>
      <c r="D2" s="67" t="s">
        <v>53</v>
      </c>
    </row>
    <row r="3" spans="2:13" ht="23.25" x14ac:dyDescent="0.25">
      <c r="B3" s="77"/>
    </row>
    <row r="4" spans="2:13" x14ac:dyDescent="0.25">
      <c r="B4" s="89" t="s">
        <v>21</v>
      </c>
      <c r="C4" s="102" t="s">
        <v>30</v>
      </c>
      <c r="D4" s="102" t="s">
        <v>31</v>
      </c>
      <c r="E4" s="90" t="s">
        <v>29</v>
      </c>
      <c r="F4" s="90"/>
      <c r="G4" s="90"/>
      <c r="H4" s="90"/>
      <c r="I4" s="90"/>
      <c r="J4" s="90"/>
      <c r="K4" s="90"/>
      <c r="L4" s="90"/>
    </row>
    <row r="5" spans="2:13" x14ac:dyDescent="0.25">
      <c r="B5" s="89"/>
      <c r="C5" s="103"/>
      <c r="D5" s="103"/>
      <c r="E5" s="64" t="s">
        <v>13</v>
      </c>
      <c r="F5" s="64" t="s">
        <v>14</v>
      </c>
      <c r="G5" s="64" t="s">
        <v>15</v>
      </c>
      <c r="H5" s="64" t="s">
        <v>16</v>
      </c>
      <c r="I5" s="64" t="s">
        <v>17</v>
      </c>
      <c r="J5" s="64" t="s">
        <v>18</v>
      </c>
      <c r="K5" s="64" t="s">
        <v>22</v>
      </c>
      <c r="L5" s="64" t="s">
        <v>43</v>
      </c>
    </row>
    <row r="6" spans="2:13" x14ac:dyDescent="0.25">
      <c r="B6" s="37">
        <v>2019</v>
      </c>
      <c r="C6" s="50">
        <f>'Proyeccion cant residuos'!H8</f>
        <v>124150</v>
      </c>
      <c r="D6" s="53">
        <v>3877</v>
      </c>
      <c r="E6" s="41">
        <f>('Deficit comuna'!C7/'Deficit Pob. Objetivo'!$C6)*'Deficit Pob. Objetivo'!$D6</f>
        <v>130.52052439790575</v>
      </c>
      <c r="F6" s="41">
        <f>('Deficit comuna'!D7/'Deficit Pob. Objetivo'!$C6)*'Deficit Pob. Objetivo'!$D6</f>
        <v>24.472598324607326</v>
      </c>
      <c r="G6" s="41">
        <f>('Deficit comuna'!E7/'Deficit Pob. Objetivo'!$C6)*'Deficit Pob. Objetivo'!$D6</f>
        <v>50.576703204188476</v>
      </c>
      <c r="H6" s="41">
        <f>('Deficit comuna'!F7/'Deficit Pob. Objetivo'!$C6)*'Deficit Pob. Objetivo'!$D6</f>
        <v>37.524650764397904</v>
      </c>
      <c r="I6" s="41">
        <f>('Deficit comuna'!G7/'Deficit Pob. Objetivo'!$C6)*'Deficit Pob. Objetivo'!$D6</f>
        <v>173.3475714659686</v>
      </c>
      <c r="J6" s="41">
        <f>('Deficit comuna'!H7/'Deficit Pob. Objetivo'!$C6)*'Deficit Pob. Objetivo'!$D6</f>
        <v>57.782523821989528</v>
      </c>
      <c r="K6" s="41">
        <f>('Deficit comuna'!I7/'Deficit Pob. Objetivo'!$C6)*'Deficit Pob. Objetivo'!$D6</f>
        <v>482.65402251308905</v>
      </c>
      <c r="L6" s="41">
        <f>('Deficit comuna'!J7/'Deficit Pob. Objetivo'!$C6)*'Deficit Pob. Objetivo'!$D6</f>
        <v>118.69210187434555</v>
      </c>
      <c r="M6" s="18"/>
    </row>
    <row r="7" spans="2:13" ht="14.25" customHeight="1" x14ac:dyDescent="0.25">
      <c r="B7" s="69">
        <v>2020</v>
      </c>
      <c r="C7" s="70">
        <f>'Proyeccion cant residuos'!H9</f>
        <v>129999</v>
      </c>
      <c r="D7" s="71">
        <v>3915</v>
      </c>
      <c r="E7" s="41">
        <f>('Deficit comuna'!C8/'Deficit Pob. Objetivo'!$C7)*'Deficit Pob. Objetivo'!$D7</f>
        <v>134.1722038617801</v>
      </c>
      <c r="F7" s="41">
        <f>('Deficit comuna'!D8/'Deficit Pob. Objetivo'!$C7)*'Deficit Pob. Objetivo'!$D7</f>
        <v>25.157288224083768</v>
      </c>
      <c r="G7" s="41">
        <f>('Deficit comuna'!E8/'Deficit Pob. Objetivo'!$C7)*'Deficit Pob. Objetivo'!$D7</f>
        <v>51.991728996439782</v>
      </c>
      <c r="H7" s="41">
        <f>('Deficit comuna'!F8/'Deficit Pob. Objetivo'!$C7)*'Deficit Pob. Objetivo'!$D7</f>
        <v>38.57450861026178</v>
      </c>
      <c r="I7" s="41">
        <f>('Deficit comuna'!G8/'Deficit Pob. Objetivo'!$C7)*'Deficit Pob. Objetivo'!$D7</f>
        <v>178.1974582539267</v>
      </c>
      <c r="J7" s="41">
        <f>('Deficit comuna'!H8/'Deficit Pob. Objetivo'!$C7)*'Deficit Pob. Objetivo'!$D7</f>
        <v>59.399152751308911</v>
      </c>
      <c r="K7" s="41">
        <f>('Deficit comuna'!I8/'Deficit Pob. Objetivo'!$C7)*'Deficit Pob. Objetivo'!$D7</f>
        <v>496.15762886387444</v>
      </c>
      <c r="L7" s="41">
        <f>('Deficit comuna'!J8/'Deficit Pob. Objetivo'!$C7)*'Deficit Pob. Objetivo'!$D7</f>
        <v>122.01284788680628</v>
      </c>
    </row>
    <row r="8" spans="2:13" ht="14.25" customHeight="1" x14ac:dyDescent="0.25">
      <c r="B8" s="69">
        <v>2021</v>
      </c>
      <c r="C8" s="70">
        <f>'Proyeccion cant residuos'!H10</f>
        <v>134085</v>
      </c>
      <c r="D8" s="71">
        <v>4029</v>
      </c>
      <c r="E8" s="41">
        <f>('Deficit comuna'!C9/'Deficit Pob. Objetivo'!$C8)*'Deficit Pob. Objetivo'!$D8</f>
        <v>140.56455834676271</v>
      </c>
      <c r="F8" s="41">
        <f>('Deficit comuna'!D9/'Deficit Pob. Objetivo'!$C8)*'Deficit Pob. Objetivo'!$D8</f>
        <v>26.355854690018013</v>
      </c>
      <c r="G8" s="41">
        <f>('Deficit comuna'!E9/'Deficit Pob. Objetivo'!$C8)*'Deficit Pob. Objetivo'!$D8</f>
        <v>54.468766359370569</v>
      </c>
      <c r="H8" s="41">
        <f>('Deficit comuna'!F9/'Deficit Pob. Objetivo'!$C8)*'Deficit Pob. Objetivo'!$D8</f>
        <v>40.412310524694284</v>
      </c>
      <c r="I8" s="41">
        <f>('Deficit comuna'!G9/'Deficit Pob. Objetivo'!$C8)*'Deficit Pob. Objetivo'!$D8</f>
        <v>186.68730405429426</v>
      </c>
      <c r="J8" s="41">
        <f>('Deficit comuna'!H9/'Deficit Pob. Objetivo'!$C8)*'Deficit Pob. Objetivo'!$D8</f>
        <v>62.229101351431424</v>
      </c>
      <c r="K8" s="41">
        <f>('Deficit comuna'!I9/'Deficit Pob. Objetivo'!$C8)*'Deficit Pob. Objetivo'!$D8</f>
        <v>519.79602305313301</v>
      </c>
      <c r="L8" s="41">
        <f>('Deficit comuna'!J9/'Deficit Pob. Objetivo'!$C8)*'Deficit Pob. Objetivo'!$D8</f>
        <v>127.82589524658735</v>
      </c>
    </row>
    <row r="9" spans="2:13" ht="14.25" customHeight="1" x14ac:dyDescent="0.25">
      <c r="B9" s="69">
        <v>2022</v>
      </c>
      <c r="C9" s="70">
        <f>'Proyeccion cant residuos'!H11</f>
        <v>137263</v>
      </c>
      <c r="D9" s="71">
        <v>4556</v>
      </c>
      <c r="E9" s="41">
        <f>('Deficit comuna'!C10/'Deficit Pob. Objetivo'!$C9)*'Deficit Pob. Objetivo'!$D9</f>
        <v>161.81175133500923</v>
      </c>
      <c r="F9" s="41">
        <f>('Deficit comuna'!D10/'Deficit Pob. Objetivo'!$C9)*'Deficit Pob. Objetivo'!$D9</f>
        <v>30.339703375314237</v>
      </c>
      <c r="G9" s="41">
        <f>('Deficit comuna'!E10/'Deficit Pob. Objetivo'!$C9)*'Deficit Pob. Objetivo'!$D9</f>
        <v>62.702053642316088</v>
      </c>
      <c r="H9" s="41">
        <f>('Deficit comuna'!F10/'Deficit Pob. Objetivo'!$C9)*'Deficit Pob. Objetivo'!$D9</f>
        <v>46.520878508815159</v>
      </c>
      <c r="I9" s="41">
        <f>('Deficit comuna'!G10/'Deficit Pob. Objetivo'!$C9)*'Deficit Pob. Objetivo'!$D9</f>
        <v>214.90623224180916</v>
      </c>
      <c r="J9" s="41">
        <f>('Deficit comuna'!H10/'Deficit Pob. Objetivo'!$C9)*'Deficit Pob. Objetivo'!$D9</f>
        <v>71.635410747269731</v>
      </c>
      <c r="K9" s="41">
        <f>('Deficit comuna'!I10/'Deficit Pob. Objetivo'!$C9)*'Deficit Pob. Objetivo'!$D9</f>
        <v>598.36637212425296</v>
      </c>
      <c r="L9" s="41">
        <f>('Deficit comuna'!J10/'Deficit Pob. Objetivo'!$C9)*'Deficit Pob. Objetivo'!$D9</f>
        <v>147.14756137027408</v>
      </c>
    </row>
    <row r="10" spans="2:13" ht="14.25" customHeight="1" x14ac:dyDescent="0.25">
      <c r="B10" s="69">
        <v>2023</v>
      </c>
      <c r="C10" s="70">
        <f>'Proyeccion cant residuos'!H12</f>
        <v>140282</v>
      </c>
      <c r="D10" s="71">
        <v>4612</v>
      </c>
      <c r="E10" s="41">
        <f>('Deficit comuna'!C11/'Deficit Pob. Objetivo'!$C10)*'Deficit Pob. Objetivo'!$D10</f>
        <v>166.74906968961582</v>
      </c>
      <c r="F10" s="41">
        <f>('Deficit comuna'!D11/'Deficit Pob. Objetivo'!$C10)*'Deficit Pob. Objetivo'!$D10</f>
        <v>31.265450566802972</v>
      </c>
      <c r="G10" s="41">
        <f>('Deficit comuna'!E11/'Deficit Pob. Objetivo'!$C10)*'Deficit Pob. Objetivo'!$D10</f>
        <v>64.615264504726142</v>
      </c>
      <c r="H10" s="41">
        <f>('Deficit comuna'!F11/'Deficit Pob. Objetivo'!$C10)*'Deficit Pob. Objetivo'!$D10</f>
        <v>47.940357535764555</v>
      </c>
      <c r="I10" s="41">
        <f>('Deficit comuna'!G11/'Deficit Pob. Objetivo'!$C10)*'Deficit Pob. Objetivo'!$D10</f>
        <v>221.46360818152104</v>
      </c>
      <c r="J10" s="41">
        <f>('Deficit comuna'!H11/'Deficit Pob. Objetivo'!$C10)*'Deficit Pob. Objetivo'!$D10</f>
        <v>73.821202727173684</v>
      </c>
      <c r="K10" s="41">
        <f>('Deficit comuna'!I11/'Deficit Pob. Objetivo'!$C10)*'Deficit Pob. Objetivo'!$D10</f>
        <v>616.62416395639195</v>
      </c>
      <c r="L10" s="41">
        <f>('Deficit comuna'!J11/'Deficit Pob. Objetivo'!$C10)*'Deficit Pob. Objetivo'!$D10</f>
        <v>151.63743524899439</v>
      </c>
    </row>
    <row r="11" spans="2:13" ht="14.25" customHeight="1" x14ac:dyDescent="0.25">
      <c r="B11" s="69">
        <v>2024</v>
      </c>
      <c r="C11" s="70">
        <f>'Proyeccion cant residuos'!H13</f>
        <v>143294</v>
      </c>
      <c r="D11" s="71">
        <v>4754</v>
      </c>
      <c r="E11" s="41">
        <f>('Deficit comuna'!C12/'Deficit Pob. Objetivo'!$C11)*'Deficit Pob. Objetivo'!$D11</f>
        <v>174.97704438332906</v>
      </c>
      <c r="F11" s="41">
        <f>('Deficit comuna'!D12/'Deficit Pob. Objetivo'!$C11)*'Deficit Pob. Objetivo'!$D11</f>
        <v>32.8081958218742</v>
      </c>
      <c r="G11" s="41">
        <f>('Deficit comuna'!E12/'Deficit Pob. Objetivo'!$C11)*'Deficit Pob. Objetivo'!$D11</f>
        <v>67.803604698540013</v>
      </c>
      <c r="H11" s="41">
        <f>('Deficit comuna'!F12/'Deficit Pob. Objetivo'!$C11)*'Deficit Pob. Objetivo'!$D11</f>
        <v>50.305900260207103</v>
      </c>
      <c r="I11" s="41">
        <f>('Deficit comuna'!G12/'Deficit Pob. Objetivo'!$C11)*'Deficit Pob. Objetivo'!$D11</f>
        <v>232.3913870716089</v>
      </c>
      <c r="J11" s="41">
        <f>('Deficit comuna'!H12/'Deficit Pob. Objetivo'!$C11)*'Deficit Pob. Objetivo'!$D11</f>
        <v>77.46379569053633</v>
      </c>
      <c r="K11" s="41">
        <f>('Deficit comuna'!I12/'Deficit Pob. Objetivo'!$C11)*'Deficit Pob. Objetivo'!$D11</f>
        <v>647.05052870918564</v>
      </c>
      <c r="L11" s="41">
        <f>('Deficit comuna'!J12/'Deficit Pob. Objetivo'!$C11)*'Deficit Pob. Objetivo'!$D11</f>
        <v>159.11974973608989</v>
      </c>
    </row>
    <row r="12" spans="2:13" ht="14.25" customHeight="1" x14ac:dyDescent="0.25">
      <c r="B12" s="69">
        <v>2025</v>
      </c>
      <c r="C12" s="70">
        <f>'Proyeccion cant residuos'!H14</f>
        <v>146337</v>
      </c>
      <c r="D12" s="71">
        <v>4881</v>
      </c>
      <c r="E12" s="41">
        <f>('Deficit comuna'!C13/'Deficit Pob. Objetivo'!$C12)*'Deficit Pob. Objetivo'!$D12</f>
        <v>182.88516760632305</v>
      </c>
      <c r="F12" s="41">
        <f>('Deficit comuna'!D13/'Deficit Pob. Objetivo'!$C12)*'Deficit Pob. Objetivo'!$D12</f>
        <v>34.29096892618557</v>
      </c>
      <c r="G12" s="41">
        <f>('Deficit comuna'!E13/'Deficit Pob. Objetivo'!$C12)*'Deficit Pob. Objetivo'!$D12</f>
        <v>70.868002447450181</v>
      </c>
      <c r="H12" s="41">
        <f>('Deficit comuna'!F13/'Deficit Pob. Objetivo'!$C12)*'Deficit Pob. Objetivo'!$D12</f>
        <v>52.579485686817883</v>
      </c>
      <c r="I12" s="41">
        <f>('Deficit comuna'!G13/'Deficit Pob. Objetivo'!$C12)*'Deficit Pob. Objetivo'!$D12</f>
        <v>242.89436322714781</v>
      </c>
      <c r="J12" s="41">
        <f>('Deficit comuna'!H13/'Deficit Pob. Objetivo'!$C12)*'Deficit Pob. Objetivo'!$D12</f>
        <v>80.964787742382612</v>
      </c>
      <c r="K12" s="41">
        <f>('Deficit comuna'!I13/'Deficit Pob. Objetivo'!$C12)*'Deficit Pob. Objetivo'!$D12</f>
        <v>676.29410937754881</v>
      </c>
      <c r="L12" s="41">
        <f>('Deficit comuna'!J13/'Deficit Pob. Objetivo'!$C12)*'Deficit Pob. Objetivo'!$D12</f>
        <v>166.31119929200005</v>
      </c>
    </row>
    <row r="13" spans="2:13" ht="14.25" customHeight="1" x14ac:dyDescent="0.25">
      <c r="B13" s="69">
        <v>2026</v>
      </c>
      <c r="C13" s="70">
        <f>'Proyeccion cant residuos'!H15</f>
        <v>149416</v>
      </c>
      <c r="D13" s="71">
        <v>4915</v>
      </c>
      <c r="E13" s="41">
        <f>('Deficit comuna'!C14/'Deficit Pob. Objetivo'!$C13)*'Deficit Pob. Objetivo'!$D13</f>
        <v>187.4739704083608</v>
      </c>
      <c r="F13" s="41">
        <f>('Deficit comuna'!D14/'Deficit Pob. Objetivo'!$C13)*'Deficit Pob. Objetivo'!$D13</f>
        <v>35.151369451567653</v>
      </c>
      <c r="G13" s="41">
        <f>('Deficit comuna'!E14/'Deficit Pob. Objetivo'!$C13)*'Deficit Pob. Objetivo'!$D13</f>
        <v>72.646163533239815</v>
      </c>
      <c r="H13" s="41">
        <f>('Deficit comuna'!F14/'Deficit Pob. Objetivo'!$C13)*'Deficit Pob. Objetivo'!$D13</f>
        <v>53.898766492403738</v>
      </c>
      <c r="I13" s="41">
        <f>('Deficit comuna'!G14/'Deficit Pob. Objetivo'!$C13)*'Deficit Pob. Objetivo'!$D13</f>
        <v>248.98886694860417</v>
      </c>
      <c r="J13" s="41">
        <f>('Deficit comuna'!H14/'Deficit Pob. Objetivo'!$C13)*'Deficit Pob. Objetivo'!$D13</f>
        <v>82.99628898286808</v>
      </c>
      <c r="K13" s="41">
        <f>('Deficit comuna'!I14/'Deficit Pob. Objetivo'!$C13)*'Deficit Pob. Objetivo'!$D13</f>
        <v>693.26311973925101</v>
      </c>
      <c r="L13" s="41">
        <f>('Deficit comuna'!J14/'Deficit Pob. Objetivo'!$C13)*'Deficit Pob. Objetivo'!$D13</f>
        <v>170.48414184010309</v>
      </c>
    </row>
    <row r="14" spans="2:13" ht="14.25" customHeight="1" x14ac:dyDescent="0.25">
      <c r="B14" s="69">
        <v>2027</v>
      </c>
      <c r="C14" s="70">
        <f>'Proyeccion cant residuos'!H16</f>
        <v>152532</v>
      </c>
      <c r="D14" s="71">
        <v>5064</v>
      </c>
      <c r="E14" s="41">
        <f>('Deficit comuna'!C15/'Deficit Pob. Objetivo'!$C14)*'Deficit Pob. Objetivo'!$D14</f>
        <v>196.63414313298108</v>
      </c>
      <c r="F14" s="41">
        <f>('Deficit comuna'!D15/'Deficit Pob. Objetivo'!$C14)*'Deficit Pob. Objetivo'!$D14</f>
        <v>36.868901837433953</v>
      </c>
      <c r="G14" s="41">
        <f>('Deficit comuna'!E15/'Deficit Pob. Objetivo'!$C14)*'Deficit Pob. Objetivo'!$D14</f>
        <v>76.195730464030177</v>
      </c>
      <c r="H14" s="41">
        <f>('Deficit comuna'!F15/'Deficit Pob. Objetivo'!$C14)*'Deficit Pob. Objetivo'!$D14</f>
        <v>56.532316150732072</v>
      </c>
      <c r="I14" s="41">
        <f>('Deficit comuna'!G15/'Deficit Pob. Objetivo'!$C14)*'Deficit Pob. Objetivo'!$D14</f>
        <v>261.15472134849057</v>
      </c>
      <c r="J14" s="41">
        <f>('Deficit comuna'!H15/'Deficit Pob. Objetivo'!$C14)*'Deficit Pob. Objetivo'!$D14</f>
        <v>87.051573782830189</v>
      </c>
      <c r="K14" s="41">
        <f>('Deficit comuna'!I15/'Deficit Pob. Objetivo'!$C14)*'Deficit Pob. Objetivo'!$D14</f>
        <v>727.13667512716972</v>
      </c>
      <c r="L14" s="41">
        <f>('Deficit comuna'!J15/'Deficit Pob. Objetivo'!$C14)*'Deficit Pob. Objetivo'!$D14</f>
        <v>178.81417391155469</v>
      </c>
    </row>
    <row r="15" spans="2:13" ht="14.25" customHeight="1" x14ac:dyDescent="0.25">
      <c r="B15" s="69">
        <v>2028</v>
      </c>
      <c r="C15" s="70">
        <f>'Proyeccion cant residuos'!H17</f>
        <v>155681</v>
      </c>
      <c r="D15" s="71">
        <v>5122</v>
      </c>
      <c r="E15" s="41">
        <f>('Deficit comuna'!C16/'Deficit Pob. Objetivo'!$C15)*'Deficit Pob. Objetivo'!$D15</f>
        <v>202.46622483953746</v>
      </c>
      <c r="F15" s="41">
        <f>('Deficit comuna'!D16/'Deficit Pob. Objetivo'!$C15)*'Deficit Pob. Objetivo'!$D15</f>
        <v>37.962417157413277</v>
      </c>
      <c r="G15" s="41">
        <f>('Deficit comuna'!E16/'Deficit Pob. Objetivo'!$C15)*'Deficit Pob. Objetivo'!$D15</f>
        <v>78.455662125320757</v>
      </c>
      <c r="H15" s="41">
        <f>('Deficit comuna'!F16/'Deficit Pob. Objetivo'!$C15)*'Deficit Pob. Objetivo'!$D15</f>
        <v>58.209039641367021</v>
      </c>
      <c r="I15" s="41">
        <f>('Deficit comuna'!G16/'Deficit Pob. Objetivo'!$C15)*'Deficit Pob. Objetivo'!$D15</f>
        <v>268.90045486501066</v>
      </c>
      <c r="J15" s="41">
        <f>('Deficit comuna'!H16/'Deficit Pob. Objetivo'!$C15)*'Deficit Pob. Objetivo'!$D15</f>
        <v>89.633484955003567</v>
      </c>
      <c r="K15" s="41">
        <f>('Deficit comuna'!I16/'Deficit Pob. Objetivo'!$C15)*'Deficit Pob. Objetivo'!$D15</f>
        <v>748.70322727120629</v>
      </c>
      <c r="L15" s="41">
        <f>('Deficit comuna'!J16/'Deficit Pob. Objetivo'!$C15)*'Deficit Pob. Objetivo'!$D15</f>
        <v>184.11772321345438</v>
      </c>
    </row>
    <row r="16" spans="2:13" ht="14.25" customHeight="1" x14ac:dyDescent="0.25">
      <c r="B16" s="69">
        <v>2029</v>
      </c>
      <c r="C16" s="70">
        <f>'Proyeccion cant residuos'!H18</f>
        <v>158866</v>
      </c>
      <c r="D16" s="71">
        <v>5321</v>
      </c>
      <c r="E16" s="41">
        <f>('Deficit comuna'!C17/'Deficit Pob. Objetivo'!$C16)*'Deficit Pob. Objetivo'!$D16</f>
        <v>214.11842882738378</v>
      </c>
      <c r="F16" s="41">
        <f>('Deficit comuna'!D17/'Deficit Pob. Objetivo'!$C16)*'Deficit Pob. Objetivo'!$D16</f>
        <v>40.147205405134471</v>
      </c>
      <c r="G16" s="41">
        <f>('Deficit comuna'!E17/'Deficit Pob. Objetivo'!$C16)*'Deficit Pob. Objetivo'!$D16</f>
        <v>82.970891170611225</v>
      </c>
      <c r="H16" s="41">
        <f>('Deficit comuna'!F17/'Deficit Pob. Objetivo'!$C16)*'Deficit Pob. Objetivo'!$D16</f>
        <v>61.559048287872841</v>
      </c>
      <c r="I16" s="41">
        <f>('Deficit comuna'!G17/'Deficit Pob. Objetivo'!$C16)*'Deficit Pob. Objetivo'!$D16</f>
        <v>284.37603828636912</v>
      </c>
      <c r="J16" s="41">
        <f>('Deficit comuna'!H17/'Deficit Pob. Objetivo'!$C16)*'Deficit Pob. Objetivo'!$D16</f>
        <v>94.792012762123036</v>
      </c>
      <c r="K16" s="41">
        <f>('Deficit comuna'!I17/'Deficit Pob. Objetivo'!$C16)*'Deficit Pob. Objetivo'!$D16</f>
        <v>791.79210660126307</v>
      </c>
      <c r="L16" s="41">
        <f>('Deficit comuna'!J17/'Deficit Pob. Objetivo'!$C16)*'Deficit Pob. Objetivo'!$D16</f>
        <v>194.71394621490219</v>
      </c>
    </row>
    <row r="17" spans="2:9" x14ac:dyDescent="0.25">
      <c r="B17" s="45" t="s">
        <v>44</v>
      </c>
      <c r="D17" s="40"/>
      <c r="E17" s="40"/>
      <c r="F17" s="40"/>
      <c r="G17" s="40"/>
      <c r="H17" s="40"/>
      <c r="I17" s="40"/>
    </row>
    <row r="18" spans="2:9" x14ac:dyDescent="0.25">
      <c r="B18" s="18"/>
    </row>
    <row r="19" spans="2:9" x14ac:dyDescent="0.25">
      <c r="B19" s="18"/>
    </row>
    <row r="20" spans="2:9" x14ac:dyDescent="0.25">
      <c r="B20" s="18"/>
    </row>
    <row r="21" spans="2:9" ht="18.75" x14ac:dyDescent="0.3">
      <c r="B21" s="18"/>
      <c r="I21" s="68"/>
    </row>
    <row r="22" spans="2:9" x14ac:dyDescent="0.25">
      <c r="B22" s="18"/>
    </row>
    <row r="23" spans="2:9" x14ac:dyDescent="0.25">
      <c r="B23" s="18"/>
    </row>
    <row r="24" spans="2:9" x14ac:dyDescent="0.25">
      <c r="B24" s="18"/>
    </row>
  </sheetData>
  <sheetProtection algorithmName="SHA-512" hashValue="UJV2P4Cnhk7G35p21tRx9GYSqcA4GR+qnhM8Xia8yp/npb5obTsFR3OMS50L7S1e7MdMV1Wi4cAcPdg/DS52MQ==" saltValue="61V/S3HthgkS8o2DDFQ1HQ==" spinCount="100000" sheet="1" objects="1" scenarios="1"/>
  <mergeCells count="4">
    <mergeCell ref="B4:B5"/>
    <mergeCell ref="E4:L4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Cálculo PPC</vt:lpstr>
      <vt:lpstr>Proyeccion cant residuos</vt:lpstr>
      <vt:lpstr>Res. valorizables TAD</vt:lpstr>
      <vt:lpstr>Oferta Calculo TAT</vt:lpstr>
      <vt:lpstr>Deficit comuna</vt:lpstr>
      <vt:lpstr>Deficit Pob. Objetivo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Archivaldo Rivera</dc:creator>
  <cp:lastModifiedBy>Loreto Ignacia Vera Fernandez</cp:lastModifiedBy>
  <cp:lastPrinted>2019-12-13T14:21:45Z</cp:lastPrinted>
  <dcterms:created xsi:type="dcterms:W3CDTF">2019-12-09T13:10:30Z</dcterms:created>
  <dcterms:modified xsi:type="dcterms:W3CDTF">2020-01-31T12:18:28Z</dcterms:modified>
</cp:coreProperties>
</file>